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1600" windowHeight="9735" firstSheet="6" activeTab="8"/>
  </bookViews>
  <sheets>
    <sheet name="Vacuum Cleaner 3400" sheetId="60" r:id="rId1"/>
    <sheet name="Dust Collector" sheetId="59" r:id="rId2"/>
    <sheet name="درام روتاری" sheetId="54" r:id="rId3"/>
    <sheet name="پایه ثابت روتاری" sheetId="55" r:id="rId4"/>
    <sheet name="پایه متحرک روتاری" sheetId="56" r:id="rId5"/>
    <sheet name="قاب روتاری" sheetId="57" r:id="rId6"/>
    <sheet name="سیستم محرک روتاری" sheetId="58" r:id="rId7"/>
    <sheet name="Insurment" sheetId="51" r:id="rId8"/>
    <sheet name="Fan Case" sheetId="50" r:id="rId9"/>
    <sheet name="Damper" sheetId="49" r:id="rId10"/>
    <sheet name="Coil" sheetId="48" r:id="rId11"/>
    <sheet name="Static Water Filter" sheetId="47" r:id="rId12"/>
    <sheet name="Pumping" sheetId="46" r:id="rId13"/>
    <sheet name="Ventilatin Door" sheetId="45" r:id="rId14"/>
    <sheet name="Nozzle Bank" sheetId="44" r:id="rId15"/>
    <sheet name="Eliminator" sheetId="42" r:id="rId16"/>
    <sheet name="Air Baffle" sheetId="14" r:id="rId17"/>
  </sheets>
  <calcPr calcId="152511"/>
</workbook>
</file>

<file path=xl/calcChain.xml><?xml version="1.0" encoding="utf-8"?>
<calcChain xmlns="http://schemas.openxmlformats.org/spreadsheetml/2006/main">
  <c r="O13" i="60" l="1"/>
  <c r="P13" i="60" s="1"/>
  <c r="O12" i="60"/>
  <c r="P12" i="60" s="1"/>
  <c r="J12" i="60"/>
  <c r="P11" i="60"/>
  <c r="O11" i="60"/>
  <c r="O10" i="60"/>
  <c r="P10" i="60" s="1"/>
  <c r="P9" i="60"/>
  <c r="O9" i="60"/>
  <c r="O8" i="60"/>
  <c r="P8" i="60" s="1"/>
  <c r="J8" i="60"/>
  <c r="F8" i="60"/>
  <c r="P124" i="59" l="1"/>
  <c r="P123" i="59"/>
  <c r="P122" i="59"/>
  <c r="P121" i="59"/>
  <c r="J121" i="59"/>
  <c r="P120" i="59"/>
  <c r="P119" i="59"/>
  <c r="P118" i="59"/>
  <c r="P117" i="59"/>
  <c r="J117" i="59"/>
  <c r="P116" i="59"/>
  <c r="P115" i="59"/>
  <c r="P114" i="59"/>
  <c r="P113" i="59"/>
  <c r="P112" i="59"/>
  <c r="P111" i="59"/>
  <c r="P110" i="59"/>
  <c r="P109" i="59"/>
  <c r="P108" i="59"/>
  <c r="J108" i="59"/>
  <c r="P107" i="59"/>
  <c r="F107" i="59"/>
  <c r="P96" i="59"/>
  <c r="P95" i="59"/>
  <c r="P94" i="59"/>
  <c r="P93" i="59"/>
  <c r="J93" i="59"/>
  <c r="P92" i="59"/>
  <c r="P91" i="59"/>
  <c r="P90" i="59"/>
  <c r="J90" i="59"/>
  <c r="P89" i="59"/>
  <c r="P88" i="59"/>
  <c r="P87" i="59"/>
  <c r="P86" i="59"/>
  <c r="P85" i="59"/>
  <c r="P84" i="59"/>
  <c r="P83" i="59"/>
  <c r="P82" i="59"/>
  <c r="P81" i="59"/>
  <c r="P80" i="59"/>
  <c r="P79" i="59"/>
  <c r="P78" i="59"/>
  <c r="P77" i="59"/>
  <c r="P76" i="59"/>
  <c r="P75" i="59"/>
  <c r="P74" i="59"/>
  <c r="P73" i="59"/>
  <c r="P72" i="59"/>
  <c r="P71" i="59"/>
  <c r="P70" i="59"/>
  <c r="J70" i="59"/>
  <c r="F70" i="59"/>
  <c r="P47" i="59"/>
  <c r="P46" i="59"/>
  <c r="P45" i="59"/>
  <c r="O44" i="59"/>
  <c r="P44" i="59" s="1"/>
  <c r="P43" i="59"/>
  <c r="J43" i="59"/>
  <c r="P42" i="59"/>
  <c r="P41" i="59"/>
  <c r="O41" i="59"/>
  <c r="P40" i="59"/>
  <c r="O40" i="59"/>
  <c r="J40" i="59"/>
  <c r="F40" i="59"/>
  <c r="P19" i="59"/>
  <c r="P18" i="59"/>
  <c r="P17" i="59"/>
  <c r="P16" i="59"/>
  <c r="P15" i="59"/>
  <c r="O15" i="59"/>
  <c r="P14" i="59"/>
  <c r="O14" i="59"/>
  <c r="P13" i="59"/>
  <c r="O13" i="59"/>
  <c r="P12" i="59"/>
  <c r="O12" i="59"/>
  <c r="P11" i="59"/>
  <c r="O11" i="59"/>
  <c r="P10" i="59"/>
  <c r="O10" i="59"/>
  <c r="P9" i="59"/>
  <c r="O9" i="59"/>
  <c r="P8" i="59"/>
  <c r="O8" i="59"/>
  <c r="J8" i="59"/>
  <c r="F8" i="59"/>
  <c r="P26" i="58" l="1"/>
  <c r="Q26" i="58" s="1"/>
  <c r="R26" i="58" s="1"/>
  <c r="Q25" i="58"/>
  <c r="R25" i="58" s="1"/>
  <c r="P25" i="58"/>
  <c r="P24" i="58"/>
  <c r="Q24" i="58" s="1"/>
  <c r="R24" i="58" s="1"/>
  <c r="Q23" i="58"/>
  <c r="R23" i="58" s="1"/>
  <c r="P23" i="58"/>
  <c r="P22" i="58"/>
  <c r="Q22" i="58" s="1"/>
  <c r="R22" i="58" s="1"/>
  <c r="R21" i="58"/>
  <c r="Q21" i="58"/>
  <c r="P21" i="58"/>
  <c r="R20" i="58"/>
  <c r="Q20" i="58"/>
  <c r="P20" i="58"/>
  <c r="Q19" i="58"/>
  <c r="R19" i="58" s="1"/>
  <c r="P19" i="58"/>
  <c r="P18" i="58"/>
  <c r="Q18" i="58" s="1"/>
  <c r="R18" i="58" s="1"/>
  <c r="R17" i="58"/>
  <c r="Q17" i="58"/>
  <c r="P17" i="58"/>
  <c r="R16" i="58"/>
  <c r="Q16" i="58"/>
  <c r="P16" i="58"/>
  <c r="Q15" i="58"/>
  <c r="R15" i="58" s="1"/>
  <c r="P15" i="58"/>
  <c r="P14" i="58"/>
  <c r="Q14" i="58" s="1"/>
  <c r="R14" i="58" s="1"/>
  <c r="R13" i="58"/>
  <c r="Q13" i="58"/>
  <c r="P13" i="58"/>
  <c r="R12" i="58"/>
  <c r="Q12" i="58"/>
  <c r="P12" i="58"/>
  <c r="Q11" i="58"/>
  <c r="R11" i="58" s="1"/>
  <c r="P11" i="58"/>
  <c r="P10" i="58"/>
  <c r="Q10" i="58" s="1"/>
  <c r="R10" i="58" s="1"/>
  <c r="R9" i="58"/>
  <c r="Q9" i="58"/>
  <c r="P9" i="58"/>
  <c r="R8" i="58"/>
  <c r="Q8" i="58"/>
  <c r="P8" i="58"/>
  <c r="K8" i="58"/>
  <c r="B8" i="58"/>
  <c r="R24" i="57"/>
  <c r="Q24" i="57"/>
  <c r="P24" i="57"/>
  <c r="R23" i="57"/>
  <c r="Q23" i="57"/>
  <c r="P23" i="57"/>
  <c r="Q22" i="57"/>
  <c r="R22" i="57" s="1"/>
  <c r="P22" i="57"/>
  <c r="P21" i="57"/>
  <c r="Q21" i="57" s="1"/>
  <c r="R21" i="57" s="1"/>
  <c r="R20" i="57"/>
  <c r="Q20" i="57"/>
  <c r="P20" i="57"/>
  <c r="R19" i="57"/>
  <c r="Q19" i="57"/>
  <c r="P19" i="57"/>
  <c r="R18" i="57"/>
  <c r="Q18" i="57"/>
  <c r="P18" i="57"/>
  <c r="Q17" i="57"/>
  <c r="R17" i="57" s="1"/>
  <c r="P17" i="57"/>
  <c r="K17" i="57"/>
  <c r="Q15" i="57"/>
  <c r="P15" i="57"/>
  <c r="P14" i="57"/>
  <c r="Q14" i="57" s="1"/>
  <c r="Q13" i="57"/>
  <c r="P13" i="57"/>
  <c r="R12" i="57"/>
  <c r="Q12" i="57"/>
  <c r="P12" i="57"/>
  <c r="Q11" i="57"/>
  <c r="P11" i="57"/>
  <c r="P10" i="57"/>
  <c r="Q10" i="57" s="1"/>
  <c r="Q9" i="57"/>
  <c r="P9" i="57"/>
  <c r="R8" i="57"/>
  <c r="Q8" i="57"/>
  <c r="R14" i="57" s="1"/>
  <c r="P8" i="57"/>
  <c r="G8" i="57"/>
  <c r="K19" i="57" s="1"/>
  <c r="B8" i="57"/>
  <c r="O16" i="57" s="1"/>
  <c r="P16" i="57" s="1"/>
  <c r="Q16" i="57" s="1"/>
  <c r="R16" i="57" s="1"/>
  <c r="R49" i="56"/>
  <c r="Q49" i="56"/>
  <c r="P49" i="56"/>
  <c r="R48" i="56"/>
  <c r="Q48" i="56"/>
  <c r="P48" i="56"/>
  <c r="Q47" i="56"/>
  <c r="R47" i="56" s="1"/>
  <c r="P47" i="56"/>
  <c r="P46" i="56"/>
  <c r="Q46" i="56" s="1"/>
  <c r="R46" i="56" s="1"/>
  <c r="R45" i="56"/>
  <c r="Q45" i="56"/>
  <c r="P45" i="56"/>
  <c r="R44" i="56"/>
  <c r="Q44" i="56"/>
  <c r="P44" i="56"/>
  <c r="Q43" i="56"/>
  <c r="R43" i="56" s="1"/>
  <c r="P43" i="56"/>
  <c r="P42" i="56"/>
  <c r="Q42" i="56" s="1"/>
  <c r="R42" i="56" s="1"/>
  <c r="R41" i="56"/>
  <c r="Q41" i="56"/>
  <c r="P41" i="56"/>
  <c r="R40" i="56"/>
  <c r="Q40" i="56"/>
  <c r="P40" i="56"/>
  <c r="Q39" i="56"/>
  <c r="R39" i="56" s="1"/>
  <c r="P39" i="56"/>
  <c r="P38" i="56"/>
  <c r="Q38" i="56" s="1"/>
  <c r="R38" i="56" s="1"/>
  <c r="R37" i="56"/>
  <c r="Q37" i="56"/>
  <c r="P37" i="56"/>
  <c r="G37" i="56"/>
  <c r="B37" i="56"/>
  <c r="P23" i="56"/>
  <c r="Q23" i="56" s="1"/>
  <c r="R23" i="56" s="1"/>
  <c r="R22" i="56"/>
  <c r="Q22" i="56"/>
  <c r="P22" i="56"/>
  <c r="R21" i="56"/>
  <c r="Q21" i="56"/>
  <c r="P21" i="56"/>
  <c r="Q20" i="56"/>
  <c r="R20" i="56" s="1"/>
  <c r="P20" i="56"/>
  <c r="P19" i="56"/>
  <c r="Q19" i="56" s="1"/>
  <c r="R19" i="56" s="1"/>
  <c r="Q18" i="56"/>
  <c r="P18" i="56"/>
  <c r="Q17" i="56"/>
  <c r="P17" i="56"/>
  <c r="R16" i="56"/>
  <c r="Q16" i="56"/>
  <c r="P16" i="56"/>
  <c r="R15" i="56"/>
  <c r="Q15" i="56"/>
  <c r="P15" i="56"/>
  <c r="Q14" i="56"/>
  <c r="R14" i="56" s="1"/>
  <c r="P14" i="56"/>
  <c r="P13" i="56"/>
  <c r="Q13" i="56" s="1"/>
  <c r="P12" i="56"/>
  <c r="Q12" i="56" s="1"/>
  <c r="P11" i="56"/>
  <c r="Q11" i="56" s="1"/>
  <c r="P10" i="56"/>
  <c r="Q10" i="56" s="1"/>
  <c r="R10" i="56" s="1"/>
  <c r="R9" i="56"/>
  <c r="Q9" i="56"/>
  <c r="P9" i="56"/>
  <c r="R8" i="56"/>
  <c r="Q8" i="56"/>
  <c r="P8" i="56"/>
  <c r="G8" i="56"/>
  <c r="K8" i="56" s="1"/>
  <c r="B8" i="56"/>
  <c r="N17" i="56" s="1"/>
  <c r="P18" i="55"/>
  <c r="Q18" i="55" s="1"/>
  <c r="R18" i="55" s="1"/>
  <c r="P17" i="55"/>
  <c r="Q17" i="55" s="1"/>
  <c r="R17" i="55" s="1"/>
  <c r="R16" i="55"/>
  <c r="Q16" i="55"/>
  <c r="P16" i="55"/>
  <c r="Q15" i="55"/>
  <c r="R15" i="55" s="1"/>
  <c r="P15" i="55"/>
  <c r="P14" i="55"/>
  <c r="Q14" i="55" s="1"/>
  <c r="R14" i="55" s="1"/>
  <c r="P13" i="55"/>
  <c r="Q13" i="55" s="1"/>
  <c r="R13" i="55" s="1"/>
  <c r="R12" i="55"/>
  <c r="Q12" i="55"/>
  <c r="P12" i="55"/>
  <c r="Q11" i="55"/>
  <c r="R11" i="55" s="1"/>
  <c r="P11" i="55"/>
  <c r="P10" i="55"/>
  <c r="Q10" i="55" s="1"/>
  <c r="P9" i="55"/>
  <c r="Q9" i="55" s="1"/>
  <c r="R9" i="55" s="1"/>
  <c r="R8" i="55"/>
  <c r="Q8" i="55"/>
  <c r="P8" i="55"/>
  <c r="G8" i="55"/>
  <c r="B8" i="55"/>
  <c r="R10" i="55" s="1"/>
  <c r="P57" i="54"/>
  <c r="Q57" i="54" s="1"/>
  <c r="R57" i="54" s="1"/>
  <c r="N57" i="54"/>
  <c r="P56" i="54"/>
  <c r="Q56" i="54" s="1"/>
  <c r="R56" i="54" s="1"/>
  <c r="P55" i="54"/>
  <c r="Q55" i="54" s="1"/>
  <c r="R55" i="54" s="1"/>
  <c r="O51" i="54"/>
  <c r="P51" i="54" s="1"/>
  <c r="Q51" i="54" s="1"/>
  <c r="R51" i="54" s="1"/>
  <c r="O43" i="54"/>
  <c r="P43" i="54" s="1"/>
  <c r="Q43" i="54" s="1"/>
  <c r="R43" i="54" s="1"/>
  <c r="K43" i="54"/>
  <c r="P39" i="54"/>
  <c r="Q39" i="54" s="1"/>
  <c r="R39" i="54" s="1"/>
  <c r="O39" i="54"/>
  <c r="O40" i="54" s="1"/>
  <c r="G39" i="54"/>
  <c r="Q26" i="54"/>
  <c r="R26" i="54" s="1"/>
  <c r="P26" i="54"/>
  <c r="O26" i="54"/>
  <c r="N26" i="54"/>
  <c r="O25" i="54"/>
  <c r="P25" i="54" s="1"/>
  <c r="Q25" i="54" s="1"/>
  <c r="R25" i="54" s="1"/>
  <c r="O24" i="54"/>
  <c r="O46" i="54" s="1"/>
  <c r="R23" i="54"/>
  <c r="Q23" i="54"/>
  <c r="P23" i="54"/>
  <c r="N23" i="54"/>
  <c r="O22" i="54"/>
  <c r="P22" i="54" s="1"/>
  <c r="Q22" i="54" s="1"/>
  <c r="R22" i="54" s="1"/>
  <c r="N20" i="54"/>
  <c r="J20" i="54"/>
  <c r="O21" i="54" s="1"/>
  <c r="P21" i="54" s="1"/>
  <c r="Q21" i="54" s="1"/>
  <c r="R21" i="54" s="1"/>
  <c r="J18" i="54"/>
  <c r="O18" i="54" s="1"/>
  <c r="P17" i="54"/>
  <c r="Q17" i="54" s="1"/>
  <c r="R17" i="54" s="1"/>
  <c r="R16" i="54"/>
  <c r="Q16" i="54"/>
  <c r="P16" i="54"/>
  <c r="N16" i="54"/>
  <c r="K16" i="54"/>
  <c r="O15" i="54"/>
  <c r="P15" i="54" s="1"/>
  <c r="Q15" i="54" s="1"/>
  <c r="R15" i="54" s="1"/>
  <c r="O14" i="54"/>
  <c r="P14" i="54" s="1"/>
  <c r="Q14" i="54" s="1"/>
  <c r="R14" i="54" s="1"/>
  <c r="P13" i="54"/>
  <c r="Q13" i="54" s="1"/>
  <c r="R13" i="54" s="1"/>
  <c r="R12" i="54"/>
  <c r="Q12" i="54"/>
  <c r="P12" i="54"/>
  <c r="K12" i="54"/>
  <c r="O9" i="54"/>
  <c r="P9" i="54" s="1"/>
  <c r="Q9" i="54" s="1"/>
  <c r="R9" i="54" s="1"/>
  <c r="J8" i="54"/>
  <c r="O54" i="54" s="1"/>
  <c r="P54" i="54" s="1"/>
  <c r="Q54" i="54" s="1"/>
  <c r="R54" i="54" s="1"/>
  <c r="G8" i="54"/>
  <c r="K20" i="54" s="1"/>
  <c r="O10" i="54" l="1"/>
  <c r="P10" i="54" s="1"/>
  <c r="Q10" i="54" s="1"/>
  <c r="R10" i="54" s="1"/>
  <c r="K8" i="54"/>
  <c r="O11" i="54"/>
  <c r="P11" i="54" s="1"/>
  <c r="Q11" i="54" s="1"/>
  <c r="R11" i="54" s="1"/>
  <c r="O8" i="54"/>
  <c r="P8" i="54" s="1"/>
  <c r="Q8" i="54" s="1"/>
  <c r="R8" i="54" s="1"/>
  <c r="R13" i="56"/>
  <c r="P46" i="54"/>
  <c r="Q46" i="54" s="1"/>
  <c r="R46" i="54" s="1"/>
  <c r="O47" i="54"/>
  <c r="P47" i="54" s="1"/>
  <c r="Q47" i="54" s="1"/>
  <c r="R47" i="54" s="1"/>
  <c r="P18" i="54"/>
  <c r="Q18" i="54" s="1"/>
  <c r="R18" i="54" s="1"/>
  <c r="O19" i="54"/>
  <c r="P19" i="54" s="1"/>
  <c r="Q19" i="54" s="1"/>
  <c r="R19" i="54" s="1"/>
  <c r="P40" i="54"/>
  <c r="Q40" i="54" s="1"/>
  <c r="R40" i="54" s="1"/>
  <c r="O41" i="54"/>
  <c r="P41" i="54" s="1"/>
  <c r="Q41" i="54" s="1"/>
  <c r="R41" i="54" s="1"/>
  <c r="K18" i="54"/>
  <c r="O20" i="54"/>
  <c r="P20" i="54" s="1"/>
  <c r="Q20" i="54" s="1"/>
  <c r="R20" i="54" s="1"/>
  <c r="P24" i="54"/>
  <c r="Q24" i="54" s="1"/>
  <c r="R24" i="54" s="1"/>
  <c r="N10" i="55"/>
  <c r="N11" i="56"/>
  <c r="N12" i="56"/>
  <c r="N13" i="56"/>
  <c r="R17" i="56"/>
  <c r="R18" i="56"/>
  <c r="R9" i="57"/>
  <c r="R13" i="57"/>
  <c r="O42" i="54"/>
  <c r="P42" i="54" s="1"/>
  <c r="Q42" i="54" s="1"/>
  <c r="R42" i="54" s="1"/>
  <c r="N18" i="56"/>
  <c r="O44" i="54"/>
  <c r="O48" i="54"/>
  <c r="O52" i="54"/>
  <c r="P52" i="54" s="1"/>
  <c r="Q52" i="54" s="1"/>
  <c r="R52" i="54" s="1"/>
  <c r="O53" i="54"/>
  <c r="P53" i="54" s="1"/>
  <c r="Q53" i="54" s="1"/>
  <c r="R53" i="54" s="1"/>
  <c r="R11" i="57"/>
  <c r="R15" i="57"/>
  <c r="R11" i="56"/>
  <c r="R12" i="56"/>
  <c r="R10" i="57"/>
  <c r="P8" i="50"/>
  <c r="P9" i="50"/>
  <c r="P10" i="50"/>
  <c r="P11" i="50"/>
  <c r="P12" i="50"/>
  <c r="P13" i="50"/>
  <c r="P14" i="50"/>
  <c r="P15" i="50"/>
  <c r="P16" i="50"/>
  <c r="P28" i="49"/>
  <c r="P29" i="49"/>
  <c r="P27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8" i="49"/>
  <c r="P9" i="48"/>
  <c r="P10" i="48"/>
  <c r="P11" i="48"/>
  <c r="P12" i="48"/>
  <c r="P13" i="48"/>
  <c r="P14" i="48"/>
  <c r="P15" i="48"/>
  <c r="P16" i="48"/>
  <c r="P8" i="48"/>
  <c r="P27" i="45"/>
  <c r="P26" i="45"/>
  <c r="P25" i="45"/>
  <c r="P24" i="45"/>
  <c r="P23" i="45"/>
  <c r="P22" i="45"/>
  <c r="P21" i="45"/>
  <c r="P20" i="45"/>
  <c r="P19" i="45"/>
  <c r="P18" i="45"/>
  <c r="P17" i="45"/>
  <c r="P16" i="45"/>
  <c r="P15" i="45"/>
  <c r="P14" i="45"/>
  <c r="P13" i="45"/>
  <c r="P12" i="45"/>
  <c r="P11" i="45"/>
  <c r="P10" i="45"/>
  <c r="P9" i="45"/>
  <c r="P8" i="45"/>
  <c r="O26" i="44"/>
  <c r="P26" i="44" s="1"/>
  <c r="O25" i="44"/>
  <c r="P25" i="44" s="1"/>
  <c r="O24" i="44"/>
  <c r="P24" i="44" s="1"/>
  <c r="O23" i="44"/>
  <c r="P23" i="44" s="1"/>
  <c r="P22" i="44"/>
  <c r="O21" i="44"/>
  <c r="P21" i="44" s="1"/>
  <c r="O20" i="44"/>
  <c r="P20" i="44" s="1"/>
  <c r="O19" i="44"/>
  <c r="P19" i="44" s="1"/>
  <c r="O18" i="44"/>
  <c r="P18" i="44" s="1"/>
  <c r="O17" i="44"/>
  <c r="P17" i="44" s="1"/>
  <c r="O16" i="44"/>
  <c r="P16" i="44" s="1"/>
  <c r="O15" i="44"/>
  <c r="P15" i="44" s="1"/>
  <c r="O14" i="44"/>
  <c r="P14" i="44" s="1"/>
  <c r="O13" i="44"/>
  <c r="P13" i="44" s="1"/>
  <c r="O12" i="44"/>
  <c r="P12" i="44" s="1"/>
  <c r="O11" i="44"/>
  <c r="P11" i="44" s="1"/>
  <c r="O10" i="44"/>
  <c r="P10" i="44" s="1"/>
  <c r="O9" i="44"/>
  <c r="P9" i="44" s="1"/>
  <c r="O8" i="44"/>
  <c r="P8" i="44" s="1"/>
  <c r="P45" i="42"/>
  <c r="O45" i="42"/>
  <c r="P44" i="42"/>
  <c r="O44" i="42"/>
  <c r="P43" i="42"/>
  <c r="O43" i="42"/>
  <c r="P42" i="42"/>
  <c r="O42" i="42"/>
  <c r="P41" i="42"/>
  <c r="O41" i="42"/>
  <c r="P40" i="42"/>
  <c r="O40" i="42"/>
  <c r="P25" i="42"/>
  <c r="O25" i="42"/>
  <c r="P24" i="42"/>
  <c r="O24" i="42"/>
  <c r="P23" i="42"/>
  <c r="O23" i="42"/>
  <c r="P22" i="42"/>
  <c r="O22" i="42"/>
  <c r="P21" i="42"/>
  <c r="O21" i="42"/>
  <c r="P20" i="42"/>
  <c r="O20" i="42"/>
  <c r="P19" i="42"/>
  <c r="O19" i="42"/>
  <c r="P18" i="42"/>
  <c r="O18" i="42"/>
  <c r="P17" i="42"/>
  <c r="O17" i="42"/>
  <c r="P16" i="42"/>
  <c r="O16" i="42"/>
  <c r="P15" i="42"/>
  <c r="P14" i="42"/>
  <c r="O14" i="42"/>
  <c r="P11" i="42"/>
  <c r="O11" i="42"/>
  <c r="P10" i="42"/>
  <c r="O10" i="42"/>
  <c r="P9" i="42"/>
  <c r="P44" i="54" l="1"/>
  <c r="Q44" i="54" s="1"/>
  <c r="R44" i="54" s="1"/>
  <c r="O45" i="54"/>
  <c r="P45" i="54" s="1"/>
  <c r="Q45" i="54" s="1"/>
  <c r="R45" i="54" s="1"/>
  <c r="P48" i="54"/>
  <c r="Q48" i="54" s="1"/>
  <c r="R48" i="54" s="1"/>
  <c r="O49" i="54"/>
  <c r="P49" i="54" l="1"/>
  <c r="Q49" i="54" s="1"/>
  <c r="R49" i="54" s="1"/>
  <c r="O50" i="54"/>
  <c r="P50" i="54" s="1"/>
  <c r="Q50" i="54" s="1"/>
  <c r="R50" i="54" s="1"/>
</calcChain>
</file>

<file path=xl/sharedStrings.xml><?xml version="1.0" encoding="utf-8"?>
<sst xmlns="http://schemas.openxmlformats.org/spreadsheetml/2006/main" count="2425" uniqueCount="689">
  <si>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</si>
  <si>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</si>
  <si>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</si>
  <si>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</si>
  <si>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</si>
  <si>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</si>
  <si>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</si>
  <si>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</si>
  <si>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</si>
  <si>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</si>
  <si>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</si>
  <si>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</si>
  <si>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</si>
  <si>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</si>
  <si>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</si>
  <si>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</si>
  <si>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</si>
  <si>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مقدار خالص</t>
  </si>
  <si>
    <t>واحد</t>
  </si>
  <si>
    <t>1</t>
  </si>
  <si>
    <t>ناودانی عرضی</t>
  </si>
  <si>
    <t>2</t>
  </si>
  <si>
    <t>ناودانی طولی</t>
  </si>
  <si>
    <t>3</t>
  </si>
  <si>
    <t>پیچ دوسو</t>
  </si>
  <si>
    <t>M5x50</t>
  </si>
  <si>
    <t>4</t>
  </si>
  <si>
    <t>رولپلاک</t>
  </si>
  <si>
    <t>6x40</t>
  </si>
  <si>
    <t>5</t>
  </si>
  <si>
    <t>شبکه ایربافل</t>
  </si>
  <si>
    <t>600x300</t>
  </si>
  <si>
    <t>6</t>
  </si>
  <si>
    <t>چفت</t>
  </si>
  <si>
    <t>--</t>
  </si>
  <si>
    <t>7</t>
  </si>
  <si>
    <t>بست</t>
  </si>
  <si>
    <t>8</t>
  </si>
  <si>
    <t>پیچ شش گوش</t>
  </si>
  <si>
    <t>M6x40</t>
  </si>
  <si>
    <t>9</t>
  </si>
  <si>
    <t>مهره</t>
  </si>
  <si>
    <t>M6</t>
  </si>
  <si>
    <t>Air Baffle</t>
  </si>
  <si>
    <t>-</t>
  </si>
  <si>
    <t>لوله رایزر</t>
  </si>
  <si>
    <t>درپوش رایزر</t>
  </si>
  <si>
    <t>سری افشانک</t>
  </si>
  <si>
    <t>بدنه افشانک</t>
  </si>
  <si>
    <t>بست استیل</t>
  </si>
  <si>
    <t>اورینگ فنجانی</t>
  </si>
  <si>
    <t>10</t>
  </si>
  <si>
    <t>11</t>
  </si>
  <si>
    <t>12</t>
  </si>
  <si>
    <t>M6x30</t>
  </si>
  <si>
    <t>5x50x500</t>
  </si>
  <si>
    <t>Nozzle Bank</t>
  </si>
  <si>
    <t>13</t>
  </si>
  <si>
    <t>14</t>
  </si>
  <si>
    <t>ناودانی عرضی داخل</t>
  </si>
  <si>
    <t>ناودانی طولی داخل</t>
  </si>
  <si>
    <t>ناودانی عرضی بیرون</t>
  </si>
  <si>
    <t>ناودانی طولی بیرون</t>
  </si>
  <si>
    <t>لولا</t>
  </si>
  <si>
    <t>Pumping</t>
  </si>
  <si>
    <t>15</t>
  </si>
  <si>
    <t>16</t>
  </si>
  <si>
    <t>17</t>
  </si>
  <si>
    <t>18</t>
  </si>
  <si>
    <t>19</t>
  </si>
  <si>
    <t>20</t>
  </si>
  <si>
    <t>الکترو موتور</t>
  </si>
  <si>
    <t>پمپ</t>
  </si>
  <si>
    <t>شاسی</t>
  </si>
  <si>
    <t>کوپلینگ</t>
  </si>
  <si>
    <t>M10</t>
  </si>
  <si>
    <t>3"</t>
  </si>
  <si>
    <t>21</t>
  </si>
  <si>
    <t>22</t>
  </si>
  <si>
    <t>23</t>
  </si>
  <si>
    <t>24</t>
  </si>
  <si>
    <t>دستگیره</t>
  </si>
  <si>
    <t>قاب عرضی</t>
  </si>
  <si>
    <t>قاب طولی</t>
  </si>
  <si>
    <t>رولپلاگ</t>
  </si>
  <si>
    <t>M8</t>
  </si>
  <si>
    <t>M8x25</t>
  </si>
  <si>
    <t>نبشی عرضی پایین 1</t>
  </si>
  <si>
    <t>پایه</t>
  </si>
  <si>
    <t>1.5x250x270</t>
  </si>
  <si>
    <t>مهره شش گوش</t>
  </si>
  <si>
    <t>نردبانی</t>
  </si>
  <si>
    <t>نبشی نردبانی</t>
  </si>
  <si>
    <t>رابط نردبانی</t>
  </si>
  <si>
    <t>1.5x77x270</t>
  </si>
  <si>
    <t>نبشی عرضی بالا 1</t>
  </si>
  <si>
    <t>درزگیر</t>
  </si>
  <si>
    <t>M6x10</t>
  </si>
  <si>
    <t>فلنج تخلیه</t>
  </si>
  <si>
    <t>مهره سش گوش</t>
  </si>
  <si>
    <t>M6x15</t>
  </si>
  <si>
    <t>پیچ دو سو</t>
  </si>
  <si>
    <t>5x50</t>
  </si>
  <si>
    <t>تیغه الیمیناتور</t>
  </si>
  <si>
    <t>مهره برنجی</t>
  </si>
  <si>
    <t>M5</t>
  </si>
  <si>
    <t>میله الیمیناتور</t>
  </si>
  <si>
    <t>فاصله میانی</t>
  </si>
  <si>
    <t>فاصله آخر</t>
  </si>
  <si>
    <t>1.5x97x2500</t>
  </si>
  <si>
    <t>1.5x97x2022</t>
  </si>
  <si>
    <t>1.5x136x2500</t>
  </si>
  <si>
    <t>1.5x97x1948</t>
  </si>
  <si>
    <t>Eliminator</t>
  </si>
  <si>
    <t>L=1923</t>
  </si>
  <si>
    <t>لوله کلکتور</t>
  </si>
  <si>
    <t>درپوش کلکتور</t>
  </si>
  <si>
    <t>فلنج جوشی کلکتور</t>
  </si>
  <si>
    <t>فلنج فلزی</t>
  </si>
  <si>
    <t>8x210x210</t>
  </si>
  <si>
    <t>فنجانی کلکتور</t>
  </si>
  <si>
    <t>درپوش فنجانی</t>
  </si>
  <si>
    <t>بوش  رایزر</t>
  </si>
  <si>
    <t>واشر آب بند</t>
  </si>
  <si>
    <t>ناودانی افشانک</t>
  </si>
  <si>
    <t>بست شکلاتی</t>
  </si>
  <si>
    <t>نبشی رایزر</t>
  </si>
  <si>
    <t>Ø90x2432</t>
  </si>
  <si>
    <t>Ø40x1900</t>
  </si>
  <si>
    <t>1.5x88x2500</t>
  </si>
  <si>
    <t>V. Door</t>
  </si>
  <si>
    <t>در بزرگ</t>
  </si>
  <si>
    <t>1.2x836x2155</t>
  </si>
  <si>
    <t>در کوچک</t>
  </si>
  <si>
    <t>1.2x812x2109</t>
  </si>
  <si>
    <t>ناودانی تقویتی</t>
  </si>
  <si>
    <t>1.5x140x695</t>
  </si>
  <si>
    <t>2.9x40x40x800</t>
  </si>
  <si>
    <t>2.9x40x40x2100</t>
  </si>
  <si>
    <t>بوش دستگیره</t>
  </si>
  <si>
    <t>3/4" L=55</t>
  </si>
  <si>
    <t>لولا (نری)</t>
  </si>
  <si>
    <t>Ø12x100</t>
  </si>
  <si>
    <t>لولا (مادگی)</t>
  </si>
  <si>
    <t>15x20x50</t>
  </si>
  <si>
    <t>صفحه لولا (1)</t>
  </si>
  <si>
    <t>5x140x50</t>
  </si>
  <si>
    <t>صفحه لولا (2)</t>
  </si>
  <si>
    <t>5x90x50</t>
  </si>
  <si>
    <t>M8x70</t>
  </si>
  <si>
    <t>پیچ سر آلن</t>
  </si>
  <si>
    <t>سیخک</t>
  </si>
  <si>
    <t>2.9x40x40x150</t>
  </si>
  <si>
    <t>فوم</t>
  </si>
  <si>
    <t>طلق</t>
  </si>
  <si>
    <t>3x200x500</t>
  </si>
  <si>
    <t>نوار درزگیر</t>
  </si>
  <si>
    <t>L=2500</t>
  </si>
  <si>
    <t>مغزی نوار درزگیر</t>
  </si>
  <si>
    <t>10x30x6000</t>
  </si>
  <si>
    <t>لاستیک اسفنجی</t>
  </si>
  <si>
    <t>40x800x2000</t>
  </si>
  <si>
    <t>مهره کاسه نمد دار</t>
  </si>
  <si>
    <t>11Kw-2900rpm</t>
  </si>
  <si>
    <t>U-140x6000</t>
  </si>
  <si>
    <t>EN-50/160</t>
  </si>
  <si>
    <t>الکترو
پمپ</t>
  </si>
  <si>
    <t>صفحه ریل</t>
  </si>
  <si>
    <t>2x170x600</t>
  </si>
  <si>
    <t>نبشی ریل</t>
  </si>
  <si>
    <t>1.5x27x600</t>
  </si>
  <si>
    <t>نبشی عرضی داخل</t>
  </si>
  <si>
    <t>نبشی طولی داخل</t>
  </si>
  <si>
    <t>1.5x40x590</t>
  </si>
  <si>
    <t>نبشی عرضی بیرون</t>
  </si>
  <si>
    <t>نبشی طولی بیرون</t>
  </si>
  <si>
    <t>2x43x597</t>
  </si>
  <si>
    <t xml:space="preserve">توری </t>
  </si>
  <si>
    <t>Ø8x250</t>
  </si>
  <si>
    <t>تسمه تقویتی بیرون</t>
  </si>
  <si>
    <t>2x30x538</t>
  </si>
  <si>
    <t>تسمه تقویتی داخل</t>
  </si>
  <si>
    <t>1/5x30x538</t>
  </si>
  <si>
    <t>S.W.F</t>
  </si>
  <si>
    <t>1.5x40x880</t>
  </si>
  <si>
    <t>2x43x887</t>
  </si>
  <si>
    <t>600x900</t>
  </si>
  <si>
    <t>ریل</t>
  </si>
  <si>
    <t>قاب</t>
  </si>
  <si>
    <t>نبشی قاب عرضی</t>
  </si>
  <si>
    <t>ناودانی قاب طولی</t>
  </si>
  <si>
    <t>تیوب شیت</t>
  </si>
  <si>
    <t>تیوب</t>
  </si>
  <si>
    <t>کلکتور</t>
  </si>
  <si>
    <t>4x70x142</t>
  </si>
  <si>
    <t>فلنج گلویی جوشی</t>
  </si>
  <si>
    <t>نبشی اتصال</t>
  </si>
  <si>
    <t>50x50x80</t>
  </si>
  <si>
    <t>4x95x1052</t>
  </si>
  <si>
    <t>4x355x1500</t>
  </si>
  <si>
    <t>1/2" L=1500</t>
  </si>
  <si>
    <t>4x203x1052</t>
  </si>
  <si>
    <t>1"</t>
  </si>
  <si>
    <t>1" L=100</t>
  </si>
  <si>
    <t>6x155x1052</t>
  </si>
  <si>
    <t>Coil</t>
  </si>
  <si>
    <t>کویل</t>
  </si>
  <si>
    <t>Damper</t>
  </si>
  <si>
    <t>قاب عرض دمپر</t>
  </si>
  <si>
    <t>قاب طولی دمپر</t>
  </si>
  <si>
    <t>تیرک</t>
  </si>
  <si>
    <t>نوار دمپر</t>
  </si>
  <si>
    <t>بادامک</t>
  </si>
  <si>
    <t>فشنگی</t>
  </si>
  <si>
    <t>واسطه 4 گوش</t>
  </si>
  <si>
    <t>گوشک</t>
  </si>
  <si>
    <t>بوش تفلون</t>
  </si>
  <si>
    <t>بازو بزرگ</t>
  </si>
  <si>
    <t>بازو کوچک</t>
  </si>
  <si>
    <t>واشر</t>
  </si>
  <si>
    <t>اشپیل</t>
  </si>
  <si>
    <t>نبشی اتصال قاب</t>
  </si>
  <si>
    <t>پیچ آلن مخروطی</t>
  </si>
  <si>
    <t>مهره 4 گوش</t>
  </si>
  <si>
    <t>توری دمپر</t>
  </si>
  <si>
    <t>نبشی توری دمپر</t>
  </si>
  <si>
    <t>تسمه توری دمپر</t>
  </si>
  <si>
    <t>1/5x370x1967</t>
  </si>
  <si>
    <t>1/5x370x1520</t>
  </si>
  <si>
    <t>1/5x290x1520</t>
  </si>
  <si>
    <t>2x70x1520</t>
  </si>
  <si>
    <t>A12</t>
  </si>
  <si>
    <t>2/6x30</t>
  </si>
  <si>
    <t>2x50x260</t>
  </si>
  <si>
    <t>M10x15</t>
  </si>
  <si>
    <t>1000x1967</t>
  </si>
  <si>
    <t>4x45x6968</t>
  </si>
  <si>
    <t>1/5x30x6968</t>
  </si>
  <si>
    <t>دمپر</t>
  </si>
  <si>
    <t>رینگ</t>
  </si>
  <si>
    <t>مخروطی</t>
  </si>
  <si>
    <t>فلنج</t>
  </si>
  <si>
    <t xml:space="preserve">پایه </t>
  </si>
  <si>
    <t>صفحه</t>
  </si>
  <si>
    <t>ورق اتصال پایه به بدنه</t>
  </si>
  <si>
    <t>3x365x3518</t>
  </si>
  <si>
    <t>2/5x1250x350</t>
  </si>
  <si>
    <t>4x1000x280</t>
  </si>
  <si>
    <t>M16x40</t>
  </si>
  <si>
    <t>8x440x710</t>
  </si>
  <si>
    <t>3x160x160</t>
  </si>
  <si>
    <t>8x160x160</t>
  </si>
  <si>
    <t>8x500x580</t>
  </si>
  <si>
    <t>Fan Case</t>
  </si>
  <si>
    <t>Insurment</t>
  </si>
  <si>
    <t>سنسور دما</t>
  </si>
  <si>
    <t>سنسور رطوبت</t>
  </si>
  <si>
    <t>میکروسوییچ</t>
  </si>
  <si>
    <t>دمپر موتور</t>
  </si>
  <si>
    <t>05</t>
  </si>
  <si>
    <t>01</t>
  </si>
  <si>
    <t xml:space="preserve"> Stand</t>
  </si>
  <si>
    <t>Stand</t>
  </si>
  <si>
    <t>صفحه اتصال پایه</t>
  </si>
  <si>
    <t>5x170x340</t>
  </si>
  <si>
    <t>02</t>
  </si>
  <si>
    <t>قوطی پایه</t>
  </si>
  <si>
    <t>70*70,L=1500</t>
  </si>
  <si>
    <t>03</t>
  </si>
  <si>
    <t>درپوش قوطی پایه</t>
  </si>
  <si>
    <t>4x70x70</t>
  </si>
  <si>
    <t>صفحه زیر پایه</t>
  </si>
  <si>
    <t>8x300x300</t>
  </si>
  <si>
    <t>اتصالات</t>
  </si>
  <si>
    <t xml:space="preserve">پیچ </t>
  </si>
  <si>
    <t>M8x80</t>
  </si>
  <si>
    <t>8x80</t>
  </si>
  <si>
    <t>Casing 3400</t>
  </si>
  <si>
    <t>بدنه جاروب</t>
  </si>
  <si>
    <t>نبشی طولی</t>
  </si>
  <si>
    <t>30x30,L=340</t>
  </si>
  <si>
    <t>نبشی عرضی</t>
  </si>
  <si>
    <t>30x30,L=110</t>
  </si>
  <si>
    <t>بدنه طولی</t>
  </si>
  <si>
    <t>2x278x1700</t>
  </si>
  <si>
    <t>ریل جاروب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</si>
  <si>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12,L=1700</t>
    </r>
  </si>
  <si>
    <t>2x90x280</t>
  </si>
  <si>
    <t>رابط ناودانی تقویتی</t>
  </si>
  <si>
    <t>3x50x170</t>
  </si>
  <si>
    <t>لاستیک درزگیر</t>
  </si>
  <si>
    <t>3x40x1700</t>
  </si>
  <si>
    <t>تسمه نگهدارنده لاستیک درزگیر</t>
  </si>
  <si>
    <t>1.5x30x1700</t>
  </si>
  <si>
    <t>پرچ آلومینیومی</t>
  </si>
  <si>
    <t>4x10</t>
  </si>
  <si>
    <t>در جاروب</t>
  </si>
  <si>
    <t>1.5x375x1700</t>
  </si>
  <si>
    <t>پیچ در چاروب</t>
  </si>
  <si>
    <t>M1/4x15</t>
  </si>
  <si>
    <t>مهره در جاروب</t>
  </si>
  <si>
    <t xml:space="preserve">M1/4 </t>
  </si>
  <si>
    <t>باکس الکتروموتور</t>
  </si>
  <si>
    <t>باکس الکترو موتور</t>
  </si>
  <si>
    <t>2x250x1200</t>
  </si>
  <si>
    <t>درب باکس الکترو موتور</t>
  </si>
  <si>
    <t>2x140x240</t>
  </si>
  <si>
    <t>صفحه انتهایی باکس الکترو موتور</t>
  </si>
  <si>
    <t>3x170x340</t>
  </si>
  <si>
    <t>پیچ در باکس الکتروموتور</t>
  </si>
  <si>
    <t>مهره در باکس الکتروموتور</t>
  </si>
  <si>
    <t>بسته پیچ و اتصالات</t>
  </si>
  <si>
    <t>پیچ اتصال تکه ها</t>
  </si>
  <si>
    <t>M8x20</t>
  </si>
  <si>
    <t>مهره اتصال تکه ها</t>
  </si>
  <si>
    <t>پیچ رابط ناودانی</t>
  </si>
  <si>
    <t>M8x30</t>
  </si>
  <si>
    <t>Tractor</t>
  </si>
  <si>
    <t>واگن اول</t>
  </si>
  <si>
    <t>صفحه کشنده</t>
  </si>
  <si>
    <t>3x200x300</t>
  </si>
  <si>
    <t>نبشی صفحه کشنده</t>
  </si>
  <si>
    <t>30x30, L=30</t>
  </si>
  <si>
    <t>صفحه زیر واگن اول</t>
  </si>
  <si>
    <t>2x260x300</t>
  </si>
  <si>
    <t>صفحه روی واگن اول</t>
  </si>
  <si>
    <t>2x100x300</t>
  </si>
  <si>
    <t>لوله رابط صفحات واگن اول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</si>
  <si>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22,L=40</t>
    </r>
  </si>
  <si>
    <t>چرخ واگن اول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</si>
  <si>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65,L=15</t>
    </r>
  </si>
  <si>
    <t>بلبرینگ چرخ واگن</t>
  </si>
  <si>
    <t>6000z</t>
  </si>
  <si>
    <t xml:space="preserve">پیچ چرخ واگن </t>
  </si>
  <si>
    <t>M10x60</t>
  </si>
  <si>
    <t>مهره چرخ واگن</t>
  </si>
  <si>
    <t>واشر چرخ واگن</t>
  </si>
  <si>
    <t>A10</t>
  </si>
  <si>
    <t>واگن دوم</t>
  </si>
  <si>
    <t>صفحه زیر واگن دوم</t>
  </si>
  <si>
    <t>صفحه روی واگن دوم</t>
  </si>
  <si>
    <t>لوله رابط صفحات واگن دوم</t>
  </si>
  <si>
    <t>چرخ واگن دوم</t>
  </si>
  <si>
    <t>ناودانی اتصال واگن</t>
  </si>
  <si>
    <t>2x120x1700</t>
  </si>
  <si>
    <t>پیچ اتصال واگن</t>
  </si>
  <si>
    <t>مهره اتصال واگن</t>
  </si>
  <si>
    <t xml:space="preserve">M1/4  </t>
  </si>
  <si>
    <t>04</t>
  </si>
  <si>
    <t>Driver</t>
  </si>
  <si>
    <t>چرخدنده متحرک</t>
  </si>
  <si>
    <t>خورشیدی چرخدنده متحرک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</si>
  <si>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80</t>
    </r>
  </si>
  <si>
    <t>شفت چرخدنده متحرک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</si>
  <si>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18,L=40</t>
    </r>
  </si>
  <si>
    <t>بلبرینگ چرخدنده متحرک</t>
  </si>
  <si>
    <t>6000zz</t>
  </si>
  <si>
    <t>مهره چرخدنده متحرک</t>
  </si>
  <si>
    <t>واشر چرخدنده متحرک</t>
  </si>
  <si>
    <t>چرخدنده ثابت</t>
  </si>
  <si>
    <t>خورشیدی چرخدنده ثابت</t>
  </si>
  <si>
    <t>Ø80</t>
  </si>
  <si>
    <t>شفت چرخدنده ثابت</t>
  </si>
  <si>
    <t>Ø35,L=60</t>
  </si>
  <si>
    <t>پیچ آلن چرخدنده ثابت</t>
  </si>
  <si>
    <t>M5x15</t>
  </si>
  <si>
    <t>شفت الکترو گیربکس</t>
  </si>
  <si>
    <t>Ø35,L=200</t>
  </si>
  <si>
    <t>پیچ سر شفت الکترو گیربکس</t>
  </si>
  <si>
    <t>واشر شفت الکتروگیربکس</t>
  </si>
  <si>
    <t>A6</t>
  </si>
  <si>
    <t>خار شفت الکتروگیربکس</t>
  </si>
  <si>
    <t>6x6x90</t>
  </si>
  <si>
    <t>6x6x50</t>
  </si>
  <si>
    <t>مجموعه الکتروگیربکس</t>
  </si>
  <si>
    <t xml:space="preserve">الکتروگیربکس </t>
  </si>
  <si>
    <t>0.09kw</t>
  </si>
  <si>
    <t>نبشی اتصال گیربکس</t>
  </si>
  <si>
    <t>2x150x300</t>
  </si>
  <si>
    <t>پیج نبشی اتصال گیربکس</t>
  </si>
  <si>
    <t>مهره نبشی اتصال گیربکس</t>
  </si>
  <si>
    <t>زنجیر</t>
  </si>
  <si>
    <t>زنجیر40</t>
  </si>
  <si>
    <t>تفلونی زنجیر</t>
  </si>
  <si>
    <t>40x40x40</t>
  </si>
  <si>
    <t>صفحه تفلونی</t>
  </si>
  <si>
    <t>2x10x10</t>
  </si>
  <si>
    <t>پیچ تفلونی</t>
  </si>
  <si>
    <t>06</t>
  </si>
  <si>
    <t>Casing</t>
  </si>
  <si>
    <t>قاب بالایی داست کالکتور</t>
  </si>
  <si>
    <t>قاب بالایی</t>
  </si>
  <si>
    <t>2x500x1800</t>
  </si>
  <si>
    <t>استوانه قاب بالایی</t>
  </si>
  <si>
    <t>2x75x1100</t>
  </si>
  <si>
    <t>جعبه داست کالکتور</t>
  </si>
  <si>
    <t>2x220x1600</t>
  </si>
  <si>
    <t>جدا کننده</t>
  </si>
  <si>
    <t>2x200x630</t>
  </si>
  <si>
    <t>صفحه تقویتی جدا کننده</t>
  </si>
  <si>
    <t>2x200x400</t>
  </si>
  <si>
    <t>صفحه پشتی جداکننده</t>
  </si>
  <si>
    <t>درب جعبه</t>
  </si>
  <si>
    <t>2x450x450</t>
  </si>
  <si>
    <t>استوانه جعبه</t>
  </si>
  <si>
    <t>2x80x323</t>
  </si>
  <si>
    <t>صفحه مربعی</t>
  </si>
  <si>
    <t>2x30x30</t>
  </si>
  <si>
    <t>صفحه مثلثی</t>
  </si>
  <si>
    <t>2x50x50</t>
  </si>
  <si>
    <t>پیچ</t>
  </si>
  <si>
    <t xml:space="preserve">مهره  </t>
  </si>
  <si>
    <t>قاب پایینی داست کالکتور</t>
  </si>
  <si>
    <t>قاب پایین</t>
  </si>
  <si>
    <t>استوانه قاب پایین</t>
  </si>
  <si>
    <t>2x150x1100</t>
  </si>
  <si>
    <t>بسته اتصالات</t>
  </si>
  <si>
    <t>پیچ رولپلاگ</t>
  </si>
  <si>
    <t>کیسه یک سر باز</t>
  </si>
  <si>
    <t>Ø350</t>
  </si>
  <si>
    <t>کیسه دو سر باز</t>
  </si>
  <si>
    <t>بست کیسه داست کالکتور</t>
  </si>
  <si>
    <t>Fan</t>
  </si>
  <si>
    <t>فن حلزونی</t>
  </si>
  <si>
    <t>ناودانی قاب فن حلزونی</t>
  </si>
  <si>
    <t>2x106x1970</t>
  </si>
  <si>
    <t>صفحه رویی فن حلزونی</t>
  </si>
  <si>
    <t>2x600x700</t>
  </si>
  <si>
    <t>نبشی پایه فن حلزونی</t>
  </si>
  <si>
    <t>4x150x300</t>
  </si>
  <si>
    <t>نبشی تکیه گاه فن حلزونی</t>
  </si>
  <si>
    <t>30x30 L:480</t>
  </si>
  <si>
    <t>صفحه زیر فن حلزونی</t>
  </si>
  <si>
    <t>4x600x700</t>
  </si>
  <si>
    <t>مخروطی فن حلزونی</t>
  </si>
  <si>
    <t>قیفی آلومنیومی</t>
  </si>
  <si>
    <t>پیچ بدنه</t>
  </si>
  <si>
    <t>پیچ پایه فن حلزونی</t>
  </si>
  <si>
    <t>واشر فنری پایه</t>
  </si>
  <si>
    <t>A8</t>
  </si>
  <si>
    <t>مهره بدنه فن حلزونی</t>
  </si>
  <si>
    <t>واشر فنری بدنه فن حلزونی</t>
  </si>
  <si>
    <t>مهره پایه فن حلزونی</t>
  </si>
  <si>
    <t>میخ پرچ</t>
  </si>
  <si>
    <t>M5x10</t>
  </si>
  <si>
    <t>بوش روی سر پره فن</t>
  </si>
  <si>
    <r>
      <t>Ø</t>
    </r>
    <r>
      <rPr>
        <sz val="11.5"/>
        <rFont val="Times New Roman"/>
        <family val="1"/>
      </rPr>
      <t>60,L=50</t>
    </r>
  </si>
  <si>
    <t>پره فن حلزونی</t>
  </si>
  <si>
    <t>پره آلومنیومی</t>
  </si>
  <si>
    <t>پیچ نگه دارنده الکترو موتور</t>
  </si>
  <si>
    <t>M12x35</t>
  </si>
  <si>
    <t>مهره کاسه نمددار نگه دارنده موتور</t>
  </si>
  <si>
    <t>پیچ آلن سر الکتروموتور</t>
  </si>
  <si>
    <t>M8x50</t>
  </si>
  <si>
    <t>واشر فنری سر الکتروموتور</t>
  </si>
  <si>
    <t>الکتروموتور</t>
  </si>
  <si>
    <t>2.2KW,3000rpm</t>
  </si>
  <si>
    <t>دیفیوزر</t>
  </si>
  <si>
    <t xml:space="preserve"> بدنه دیفیوزر</t>
  </si>
  <si>
    <t>2x130x500</t>
  </si>
  <si>
    <t>لوله دیفیوزر</t>
  </si>
  <si>
    <t>2x100x320</t>
  </si>
  <si>
    <t>لوله نگهدارنده</t>
  </si>
  <si>
    <t>Ø20,L=750</t>
  </si>
  <si>
    <t>پیچ اتصال دیفیوزر به بدنه</t>
  </si>
  <si>
    <t>M6x20</t>
  </si>
  <si>
    <t>25</t>
  </si>
  <si>
    <t>واشر فنری دیفیوزر</t>
  </si>
  <si>
    <t>26</t>
  </si>
  <si>
    <t xml:space="preserve">پیچ رولپلاگ </t>
  </si>
  <si>
    <t>27</t>
  </si>
  <si>
    <t>Nozzle Pack</t>
  </si>
  <si>
    <t>ناودانی نگهدارنده نازل مکش</t>
  </si>
  <si>
    <t>نازل مکش</t>
  </si>
  <si>
    <t>لوله نازل مکش</t>
  </si>
  <si>
    <t>Ø110,L=300</t>
  </si>
  <si>
    <t>سری نازل مکش</t>
  </si>
  <si>
    <t>Ø110,L=150</t>
  </si>
  <si>
    <t>قاب نازل مکش</t>
  </si>
  <si>
    <t>2x150x150</t>
  </si>
  <si>
    <t>حلقه نازل مکش</t>
  </si>
  <si>
    <t>2x20x200</t>
  </si>
  <si>
    <t>دستگیره نازل مکش</t>
  </si>
  <si>
    <t>2x25x350</t>
  </si>
  <si>
    <t>پیچ دستگیره نازل مکش</t>
  </si>
  <si>
    <t>M8*15</t>
  </si>
  <si>
    <t>مهره دستگیره نازل مکش</t>
  </si>
  <si>
    <t>پیچ اتصال نازل مکش</t>
  </si>
  <si>
    <t>M1/4x10</t>
  </si>
  <si>
    <t>مهره اتصال نازل مکش</t>
  </si>
  <si>
    <t>M1/4</t>
  </si>
  <si>
    <t>هرزگرد</t>
  </si>
  <si>
    <t>لوله PVC هرزگرد</t>
  </si>
  <si>
    <t>لوله فلزی هرزگرد</t>
  </si>
  <si>
    <t xml:space="preserve">لوله خرطومی </t>
  </si>
  <si>
    <t>Ø110,L=3000</t>
  </si>
  <si>
    <t>بست کمربندی لوله خرطومی</t>
  </si>
  <si>
    <t>Ø110</t>
  </si>
  <si>
    <t>پایه نگهدارنده لوله خرطومی</t>
  </si>
  <si>
    <t>صفحه اتصال پایه نگهدارنده لوله خرطومی</t>
  </si>
  <si>
    <t>3x150x340</t>
  </si>
  <si>
    <t>بست روی لوله خرطومی</t>
  </si>
  <si>
    <t>2x20x280</t>
  </si>
  <si>
    <t>لوله پایه نگهدارنده لوله خرطومی</t>
  </si>
  <si>
    <t>Ø32,L=1500</t>
  </si>
  <si>
    <t>صفحه زیر پایه نگهدارنده لوله خرطومی</t>
  </si>
  <si>
    <t>5x100x200</t>
  </si>
  <si>
    <t>نوع محصول</t>
  </si>
  <si>
    <t>بدنه روتاری هوا</t>
  </si>
  <si>
    <t>توری پانچی</t>
  </si>
  <si>
    <t>1.5x840x1570</t>
  </si>
  <si>
    <t>Kg</t>
  </si>
  <si>
    <t>ناودانی بدنه</t>
  </si>
  <si>
    <t>4x121x1900</t>
  </si>
  <si>
    <t>نبشی بدنه</t>
  </si>
  <si>
    <t>4x73x1570</t>
  </si>
  <si>
    <t>4x154x1800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</si>
  <si>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</si>
  <si>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</si>
  <si>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</si>
  <si>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</si>
  <si>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</si>
  <si>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</si>
  <si>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</si>
  <si>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</si>
  <si>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</si>
  <si>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</si>
  <si>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</si>
  <si>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</si>
  <si>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</si>
  <si>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</si>
  <si>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</si>
  <si>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</si>
  <si>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Pcs</t>
  </si>
  <si>
    <t>صفحه زیر نوار خاردار</t>
  </si>
  <si>
    <t>2x30x1700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</si>
  <si>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</si>
  <si>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</si>
  <si>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</si>
  <si>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</si>
  <si>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</si>
  <si>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</si>
  <si>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ورق اتصال مثلثی</t>
  </si>
  <si>
    <t>8x155x270</t>
  </si>
  <si>
    <t>تسمه کلیدی</t>
  </si>
  <si>
    <t>2x100x1700</t>
  </si>
  <si>
    <t>تسمه نوار عرضی</t>
  </si>
  <si>
    <t>یست تسمه عرضی</t>
  </si>
  <si>
    <t xml:space="preserve"> پیچ تسمه نوار عرضی</t>
  </si>
  <si>
    <t>M6x100</t>
  </si>
  <si>
    <t xml:space="preserve"> مهره تسمه نوار عرضی</t>
  </si>
  <si>
    <t>فیلتر اسفنجی</t>
  </si>
  <si>
    <t>ppi45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</si>
  <si>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</si>
  <si>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</si>
  <si>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</si>
  <si>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</si>
  <si>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</si>
  <si>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</si>
  <si>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</si>
  <si>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مهره اتصال صفحه مثلثی</t>
  </si>
  <si>
    <t xml:space="preserve">M8 </t>
  </si>
  <si>
    <t>پیچ اتصال کپه ها</t>
  </si>
  <si>
    <t>مهره اتصال کپه ها</t>
  </si>
  <si>
    <t>واشر فنری اتصال کپه ها</t>
  </si>
  <si>
    <t>M10x30</t>
  </si>
  <si>
    <t xml:space="preserve">M10 </t>
  </si>
  <si>
    <t>واشر  اتصال تکه ها</t>
  </si>
  <si>
    <t xml:space="preserve">A10 </t>
  </si>
  <si>
    <t>پیچ ورشو نوار خاردار</t>
  </si>
  <si>
    <t>M1.4x10</t>
  </si>
  <si>
    <t>پیچ اتصال سینی به ناودانی بازو</t>
  </si>
  <si>
    <t>مهره اتصال سینی به ناودانی بازو</t>
  </si>
  <si>
    <t>لاستیک هوابند</t>
  </si>
  <si>
    <t>درام3400</t>
  </si>
  <si>
    <t>درام5100</t>
  </si>
  <si>
    <t>پایه ثابت</t>
  </si>
  <si>
    <t>صفحه زیر یاتاقان</t>
  </si>
  <si>
    <t>20x140x250</t>
  </si>
  <si>
    <t>10x440x440</t>
  </si>
  <si>
    <t>ناودانی پایه</t>
  </si>
  <si>
    <t>تقویتی پایه</t>
  </si>
  <si>
    <t>8x155x155</t>
  </si>
  <si>
    <t>یاتاقان</t>
  </si>
  <si>
    <t>UCP212</t>
  </si>
  <si>
    <t>M18x70</t>
  </si>
  <si>
    <t xml:space="preserve">M18 </t>
  </si>
  <si>
    <t xml:space="preserve">واشر فنری  </t>
  </si>
  <si>
    <t>A18</t>
  </si>
  <si>
    <t xml:space="preserve">واشر تخت 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</si>
  <si>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</si>
  <si>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</si>
  <si>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</si>
  <si>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</si>
  <si>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</si>
  <si>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</si>
  <si>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</si>
  <si>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</si>
  <si>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نگهدارنده صفحه زیر الکترو موتور</t>
  </si>
  <si>
    <t>3x300x150</t>
  </si>
  <si>
    <t>رابط قوطی عرضی و تقویتی</t>
  </si>
  <si>
    <t>4x70x150</t>
  </si>
  <si>
    <t>درپوش قوطی تقویتی</t>
  </si>
  <si>
    <t>نبشی هرزگزد</t>
  </si>
  <si>
    <t>نبشی نگهدارنده صفحه موتور</t>
  </si>
  <si>
    <t>میل پیچ</t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</si>
  <si>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</si>
  <si>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t>صفحه نگهدارنده میل پیچ</t>
  </si>
  <si>
    <t>8x40x50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</si>
  <si>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</si>
  <si>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</si>
  <si>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</si>
  <si>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</si>
  <si>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</si>
  <si>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</si>
  <si>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پیچ قوطی تقویتی</t>
  </si>
  <si>
    <t>M20x90</t>
  </si>
  <si>
    <t>مهره قوطی تقویتی</t>
  </si>
  <si>
    <t>M20</t>
  </si>
  <si>
    <t>واشر تخت قوطی تقویتی</t>
  </si>
  <si>
    <t>A20</t>
  </si>
  <si>
    <t>واشر فنری قوطی تقویتی</t>
  </si>
  <si>
    <t>مهره سر میل پیچ</t>
  </si>
  <si>
    <t>M16</t>
  </si>
  <si>
    <t>اشپیل مهره میل پیچ</t>
  </si>
  <si>
    <t>2.6x30</t>
  </si>
  <si>
    <t>پیچ  یاتاقان</t>
  </si>
  <si>
    <t>مهره یاتاقان</t>
  </si>
  <si>
    <t>واشر تخت یاتاقان</t>
  </si>
  <si>
    <t>واشر فنری یاتاقان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</si>
  <si>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</si>
  <si>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</si>
  <si>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</si>
  <si>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</si>
  <si>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</si>
  <si>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</si>
  <si>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</si>
  <si>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</si>
  <si>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</si>
  <si>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</si>
  <si>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</si>
  <si>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</si>
  <si>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نبشی قاب</t>
  </si>
  <si>
    <t>ورق اتصال سر نبشی</t>
  </si>
  <si>
    <t>4x40x40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</si>
  <si>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</si>
  <si>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</si>
  <si>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</si>
  <si>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</si>
  <si>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</si>
  <si>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</si>
  <si>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</si>
  <si>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</si>
  <si>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</si>
  <si>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M1.4</t>
  </si>
  <si>
    <t>سیستم محرک</t>
  </si>
  <si>
    <t>پولی تسمه سفت کن</t>
  </si>
  <si>
    <t>Ø=65, L=70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</si>
  <si>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</si>
  <si>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</si>
  <si>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</si>
  <si>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</si>
  <si>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</si>
  <si>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>واشر پولی تسمه سفت کن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</si>
  <si>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</si>
  <si>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</si>
  <si>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</si>
  <si>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</si>
  <si>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</si>
  <si>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r>
      <t xml:space="preserve">0.37 </t>
    </r>
    <r>
      <rPr>
        <sz val="10"/>
        <rFont val="B Nazanin"/>
        <charset val="178"/>
      </rPr>
      <t>کیلووات</t>
    </r>
  </si>
  <si>
    <t xml:space="preserve">تسمه سبز روتاری 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</si>
  <si>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</si>
  <si>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</si>
  <si>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</si>
  <si>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</si>
  <si>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</si>
  <si>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</si>
  <si>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</si>
  <si>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</si>
  <si>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</si>
  <si>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واشر استپ سر الکترو گیربکس</t>
  </si>
  <si>
    <t>6*6*100</t>
  </si>
  <si>
    <t>20 N.m.</t>
  </si>
  <si>
    <t>1/5x88x2500</t>
  </si>
  <si>
    <t>1/5x84x1995</t>
  </si>
  <si>
    <t>1/5x88x600</t>
  </si>
  <si>
    <t>1/5x88x900</t>
  </si>
  <si>
    <t>رایزر</t>
  </si>
  <si>
    <t>در تهویه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</si>
</sst>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 x14ac:knownFonts="1"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Arial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name val="Arial"/>
      <family val="2"/>
      <scheme val="minor"/>
    </font>
    <font>
      <b/>
      <sz val="8"/>
      <color theme="1"/>
      <name val="B Nazanin"/>
      <charset val="178"/>
    </font>
    <font>
      <sz val="8"/>
      <name val="B Nazanin"/>
      <charset val="178"/>
    </font>
    <font>
      <sz val="8"/>
      <color theme="1"/>
      <name val="Times New Roman"/>
      <family val="1"/>
      <scheme val="major"/>
    </font>
    <font>
      <sz val="8"/>
      <name val="Times New Roman"/>
      <family val="1"/>
      <scheme val="major"/>
    </font>
    <font>
      <sz val="6"/>
      <name val="Times New Roman"/>
      <family val="1"/>
      <scheme val="major"/>
    </font>
    <font>
      <sz val="7"/>
      <name val="Times New Roman"/>
      <family val="1"/>
      <scheme val="major"/>
    </font>
    <font>
      <sz val="10"/>
      <name val="Times New Roman"/>
      <family val="1"/>
    </font>
    <font>
      <sz val="10"/>
      <color theme="1"/>
      <name val="Times New Roman"/>
      <family val="1"/>
    </font>
    <font>
      <sz val="8"/>
      <color theme="1"/>
      <name val="B Nazanin"/>
      <charset val="178"/>
    </font>
    <font>
      <sz val="9"/>
      <name val="Times New Roman"/>
      <family val="1"/>
    </font>
    <font>
      <sz val="10"/>
      <name val="B Nazanin"/>
      <charset val="178"/>
    </font>
    <font>
      <sz val="8"/>
      <color theme="1"/>
      <name val="Arial"/>
      <family val="2"/>
      <scheme val="minor"/>
    </font>
    <font>
      <sz val="10"/>
      <name val="Calibri"/>
      <family val="2"/>
    </font>
    <font>
      <sz val="10"/>
      <color theme="1"/>
      <name val="B Nazanin"/>
      <charset val="178"/>
    </font>
    <font>
      <sz val="9"/>
      <color theme="1"/>
      <name val="Times New Roman"/>
      <family val="1"/>
    </font>
    <font>
      <sz val="11.5"/>
      <name val="Times New Roman"/>
      <family val="1"/>
    </font>
    <font>
      <sz val="8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35"/>
      <color theme="1"/>
      <name val="Times New Roman"/>
      <family val="1"/>
    </font>
    <font>
      <sz val="9"/>
      <name val="Times New Roman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7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quotePrefix="1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10" fillId="4" borderId="1" xfId="0" quotePrefix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vertical="center" wrapText="1"/>
    </xf>
    <xf numFmtId="0" fontId="8" fillId="0" borderId="7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3" fillId="0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/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49" fontId="4" fillId="0" borderId="0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7" fillId="5" borderId="1" xfId="0" quotePrefix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 wrapText="1"/>
    </xf>
    <xf numFmtId="2" fontId="8" fillId="0" borderId="1" xfId="0" quotePrefix="1" applyNumberFormat="1" applyFont="1" applyFill="1" applyBorder="1" applyAlignment="1">
      <alignment horizontal="center" vertical="center" wrapText="1"/>
    </xf>
    <xf numFmtId="49" fontId="8" fillId="0" borderId="10" xfId="0" quotePrefix="1" applyNumberFormat="1" applyFont="1" applyFill="1" applyBorder="1" applyAlignment="1">
      <alignment horizontal="center" vertical="center" wrapText="1"/>
    </xf>
    <xf numFmtId="2" fontId="8" fillId="0" borderId="10" xfId="0" quotePrefix="1" applyNumberFormat="1" applyFont="1" applyFill="1" applyBorder="1" applyAlignment="1">
      <alignment horizontal="center" vertical="center" wrapText="1"/>
    </xf>
    <xf numFmtId="49" fontId="4" fillId="0" borderId="10" xfId="0" applyNumberFormat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6" fillId="0" borderId="1" xfId="0" quotePrefix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0" borderId="1" xfId="0" quotePrefix="1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16" fillId="0" borderId="10" xfId="0" quotePrefix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23" fillId="0" borderId="10" xfId="0" quotePrefix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0" fillId="0" borderId="10" xfId="0" applyBorder="1"/>
    <xf numFmtId="0" fontId="17" fillId="6" borderId="14" xfId="0" applyFont="1" applyFill="1" applyBorder="1" applyAlignment="1">
      <alignment horizontal="center" vertical="center"/>
    </xf>
    <xf numFmtId="0" fontId="13" fillId="0" borderId="14" xfId="0" quotePrefix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0" fillId="0" borderId="14" xfId="0" applyBorder="1"/>
    <xf numFmtId="0" fontId="13" fillId="0" borderId="10" xfId="0" quotePrefix="1" applyFont="1" applyFill="1" applyBorder="1" applyAlignment="1">
      <alignment horizontal="center" vertical="center"/>
    </xf>
    <xf numFmtId="49" fontId="17" fillId="0" borderId="15" xfId="0" quotePrefix="1" applyNumberFormat="1" applyFont="1" applyFill="1" applyBorder="1" applyAlignment="1">
      <alignment horizontal="center" vertical="center"/>
    </xf>
    <xf numFmtId="49" fontId="4" fillId="0" borderId="15" xfId="0" applyNumberFormat="1" applyFont="1" applyFill="1" applyBorder="1" applyAlignment="1">
      <alignment horizontal="center" vertical="center"/>
    </xf>
    <xf numFmtId="0" fontId="17" fillId="6" borderId="15" xfId="0" applyFont="1" applyFill="1" applyBorder="1" applyAlignment="1">
      <alignment horizontal="center" vertical="center"/>
    </xf>
    <xf numFmtId="0" fontId="13" fillId="0" borderId="15" xfId="0" quotePrefix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0" fillId="0" borderId="15" xfId="0" applyBorder="1"/>
    <xf numFmtId="0" fontId="17" fillId="6" borderId="7" xfId="0" applyFont="1" applyFill="1" applyBorder="1" applyAlignment="1">
      <alignment horizontal="center" vertical="center"/>
    </xf>
    <xf numFmtId="0" fontId="13" fillId="0" borderId="7" xfId="0" quotePrefix="1" applyFont="1" applyFill="1" applyBorder="1" applyAlignment="1">
      <alignment horizontal="center" vertical="center"/>
    </xf>
    <xf numFmtId="0" fontId="0" fillId="0" borderId="7" xfId="0" applyBorder="1"/>
    <xf numFmtId="1" fontId="4" fillId="0" borderId="7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4" fillId="0" borderId="0" xfId="0" quotePrefix="1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/>
    </xf>
    <xf numFmtId="0" fontId="17" fillId="0" borderId="0" xfId="0" quotePrefix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49" fontId="5" fillId="0" borderId="6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1" fontId="20" fillId="0" borderId="8" xfId="0" applyNumberFormat="1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" fontId="25" fillId="0" borderId="1" xfId="0" applyNumberFormat="1" applyFont="1" applyFill="1" applyBorder="1" applyAlignment="1">
      <alignment horizontal="center" vertical="center"/>
    </xf>
    <xf numFmtId="1" fontId="25" fillId="0" borderId="1" xfId="0" applyNumberFormat="1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" fontId="25" fillId="0" borderId="10" xfId="0" applyNumberFormat="1" applyFont="1" applyFill="1" applyBorder="1" applyAlignment="1">
      <alignment horizontal="center" vertical="center"/>
    </xf>
    <xf numFmtId="1" fontId="25" fillId="0" borderId="10" xfId="0" applyNumberFormat="1" applyFont="1" applyBorder="1" applyAlignment="1">
      <alignment horizontal="center" vertical="center"/>
    </xf>
    <xf numFmtId="1" fontId="20" fillId="0" borderId="10" xfId="0" applyNumberFormat="1" applyFont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  <xf numFmtId="1" fontId="21" fillId="0" borderId="14" xfId="0" applyNumberFormat="1" applyFont="1" applyFill="1" applyBorder="1" applyAlignment="1">
      <alignment horizontal="center" vertical="center"/>
    </xf>
    <xf numFmtId="1" fontId="25" fillId="0" borderId="14" xfId="0" applyNumberFormat="1" applyFont="1" applyBorder="1" applyAlignment="1">
      <alignment horizontal="center" vertical="center"/>
    </xf>
    <xf numFmtId="1" fontId="14" fillId="0" borderId="14" xfId="0" applyNumberFormat="1" applyFont="1" applyBorder="1" applyAlignment="1">
      <alignment horizontal="center" vertical="center"/>
    </xf>
    <xf numFmtId="1" fontId="20" fillId="0" borderId="14" xfId="0" applyNumberFormat="1" applyFont="1" applyBorder="1" applyAlignment="1">
      <alignment horizontal="center" vertical="center"/>
    </xf>
    <xf numFmtId="1" fontId="18" fillId="0" borderId="14" xfId="0" applyNumberFormat="1" applyFont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20" fillId="0" borderId="0" xfId="0" applyNumberFormat="1" applyFont="1" applyBorder="1" applyAlignment="1">
      <alignment horizontal="center" vertical="center"/>
    </xf>
    <xf numFmtId="1" fontId="13" fillId="0" borderId="10" xfId="0" quotePrefix="1" applyNumberFormat="1" applyFont="1" applyFill="1" applyBorder="1" applyAlignment="1">
      <alignment horizontal="center" vertical="center"/>
    </xf>
    <xf numFmtId="0" fontId="13" fillId="0" borderId="10" xfId="0" applyNumberFormat="1" applyFont="1" applyFill="1" applyBorder="1" applyAlignment="1">
      <alignment horizontal="center" vertical="center"/>
    </xf>
    <xf numFmtId="1" fontId="13" fillId="0" borderId="10" xfId="0" applyNumberFormat="1" applyFont="1" applyFill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" fontId="25" fillId="0" borderId="7" xfId="0" applyNumberFormat="1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1" fontId="18" fillId="0" borderId="7" xfId="0" applyNumberFormat="1" applyFont="1" applyBorder="1" applyAlignment="1">
      <alignment horizontal="center" vertical="center"/>
    </xf>
    <xf numFmtId="1" fontId="25" fillId="0" borderId="14" xfId="0" applyNumberFormat="1" applyFont="1" applyFill="1" applyBorder="1" applyAlignment="1">
      <alignment horizontal="center" vertical="center"/>
    </xf>
    <xf numFmtId="1" fontId="17" fillId="0" borderId="0" xfId="0" applyNumberFormat="1" applyFont="1" applyFill="1" applyBorder="1" applyAlignment="1">
      <alignment horizontal="center" vertical="center"/>
    </xf>
    <xf numFmtId="0" fontId="13" fillId="0" borderId="14" xfId="0" applyNumberFormat="1" applyFont="1" applyFill="1" applyBorder="1" applyAlignment="1">
      <alignment horizontal="center" vertical="center"/>
    </xf>
    <xf numFmtId="1" fontId="15" fillId="0" borderId="10" xfId="0" applyNumberFormat="1" applyFont="1" applyBorder="1" applyAlignment="1">
      <alignment horizontal="center" vertical="center"/>
    </xf>
    <xf numFmtId="1" fontId="21" fillId="0" borderId="10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vertical="center"/>
    </xf>
    <xf numFmtId="1" fontId="15" fillId="0" borderId="7" xfId="0" applyNumberFormat="1" applyFont="1" applyFill="1" applyBorder="1" applyAlignment="1">
      <alignment horizontal="center" vertical="center" wrapText="1"/>
    </xf>
    <xf numFmtId="1" fontId="25" fillId="0" borderId="7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vertical="center"/>
    </xf>
    <xf numFmtId="1" fontId="15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1" fontId="0" fillId="0" borderId="0" xfId="0" applyNumberFormat="1" applyBorder="1"/>
    <xf numFmtId="0" fontId="0" fillId="0" borderId="0" xfId="0" applyFill="1" applyBorder="1"/>
    <xf numFmtId="1" fontId="5" fillId="0" borderId="1" xfId="0" applyNumberFormat="1" applyFont="1" applyFill="1" applyBorder="1" applyAlignment="1">
      <alignment horizontal="center" vertical="center" wrapText="1"/>
    </xf>
    <xf numFmtId="1" fontId="21" fillId="0" borderId="1" xfId="0" applyNumberFormat="1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1" fontId="15" fillId="0" borderId="7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49" fontId="4" fillId="0" borderId="15" xfId="0" quotePrefix="1" applyNumberFormat="1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/>
    </xf>
    <xf numFmtId="0" fontId="16" fillId="0" borderId="15" xfId="0" quotePrefix="1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6" fillId="0" borderId="7" xfId="0" quotePrefix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1" fontId="0" fillId="0" borderId="0" xfId="0" applyNumberFormat="1"/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1" fontId="18" fillId="0" borderId="6" xfId="0" applyNumberFormat="1" applyFont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1" fontId="17" fillId="0" borderId="8" xfId="0" applyNumberFormat="1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1" fontId="17" fillId="0" borderId="10" xfId="0" applyNumberFormat="1" applyFont="1" applyFill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12" xfId="0" quotePrefix="1" applyFont="1" applyFill="1" applyBorder="1" applyAlignment="1">
      <alignment horizontal="center" vertical="center"/>
    </xf>
    <xf numFmtId="1" fontId="17" fillId="0" borderId="12" xfId="0" applyNumberFormat="1" applyFont="1" applyFill="1" applyBorder="1" applyAlignment="1">
      <alignment horizontal="center" vertical="center"/>
    </xf>
    <xf numFmtId="1" fontId="18" fillId="0" borderId="12" xfId="0" applyNumberFormat="1" applyFont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7" fillId="0" borderId="6" xfId="0" applyNumberFormat="1" applyFont="1" applyFill="1" applyBorder="1" applyAlignment="1">
      <alignment horizontal="center" vertical="center"/>
    </xf>
    <xf numFmtId="0" fontId="17" fillId="0" borderId="7" xfId="0" quotePrefix="1" applyFont="1" applyFill="1" applyBorder="1" applyAlignment="1">
      <alignment horizontal="center" vertical="center"/>
    </xf>
    <xf numFmtId="1" fontId="17" fillId="0" borderId="7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1" fontId="13" fillId="0" borderId="8" xfId="0" applyNumberFormat="1" applyFont="1" applyFill="1" applyBorder="1" applyAlignment="1">
      <alignment horizontal="center" vertical="center"/>
    </xf>
    <xf numFmtId="2" fontId="13" fillId="0" borderId="8" xfId="0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10" xfId="0" quotePrefix="1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1" fontId="15" fillId="0" borderId="10" xfId="0" applyNumberFormat="1" applyFont="1" applyFill="1" applyBorder="1" applyAlignment="1">
      <alignment horizontal="center" vertical="center"/>
    </xf>
    <xf numFmtId="1" fontId="15" fillId="0" borderId="14" xfId="0" applyNumberFormat="1" applyFont="1" applyFill="1" applyBorder="1" applyAlignment="1">
      <alignment horizontal="center" vertical="center"/>
    </xf>
    <xf numFmtId="1" fontId="15" fillId="0" borderId="7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2" fontId="8" fillId="0" borderId="6" xfId="0" quotePrefix="1" applyNumberFormat="1" applyFont="1" applyFill="1" applyBorder="1" applyAlignment="1">
      <alignment horizontal="center" vertical="center" wrapText="1"/>
    </xf>
    <xf numFmtId="2" fontId="8" fillId="0" borderId="8" xfId="0" quotePrefix="1" applyNumberFormat="1" applyFont="1" applyFill="1" applyBorder="1" applyAlignment="1">
      <alignment horizontal="center" vertical="center" wrapText="1"/>
    </xf>
    <xf numFmtId="2" fontId="8" fillId="0" borderId="7" xfId="0" quotePrefix="1" applyNumberFormat="1" applyFont="1" applyFill="1" applyBorder="1" applyAlignment="1">
      <alignment horizontal="center" vertical="center" wrapText="1"/>
    </xf>
    <xf numFmtId="0" fontId="8" fillId="0" borderId="6" xfId="0" quotePrefix="1" applyFont="1" applyFill="1" applyBorder="1" applyAlignment="1">
      <alignment horizontal="center" vertical="center" wrapText="1"/>
    </xf>
    <xf numFmtId="0" fontId="8" fillId="0" borderId="7" xfId="0" quotePrefix="1" applyFont="1" applyFill="1" applyBorder="1" applyAlignment="1">
      <alignment horizontal="center" vertical="center" wrapText="1"/>
    </xf>
    <xf numFmtId="2" fontId="4" fillId="0" borderId="6" xfId="0" quotePrefix="1" applyNumberFormat="1" applyFont="1" applyFill="1" applyBorder="1" applyAlignment="1">
      <alignment horizontal="center" vertical="center" wrapText="1"/>
    </xf>
    <xf numFmtId="2" fontId="4" fillId="0" borderId="7" xfId="0" quotePrefix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2" fontId="4" fillId="0" borderId="1" xfId="0" quotePrefix="1" applyNumberFormat="1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2" fontId="4" fillId="0" borderId="8" xfId="0" quotePrefix="1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 wrapText="1"/>
    </xf>
    <xf numFmtId="1" fontId="8" fillId="0" borderId="1" xfId="0" quotePrefix="1" applyNumberFormat="1" applyFont="1" applyFill="1" applyBorder="1" applyAlignment="1">
      <alignment horizontal="center" vertical="center" wrapText="1"/>
    </xf>
    <xf numFmtId="2" fontId="8" fillId="0" borderId="1" xfId="0" quotePrefix="1" applyNumberFormat="1" applyFont="1" applyFill="1" applyBorder="1" applyAlignment="1">
      <alignment horizontal="center" vertical="center" wrapText="1"/>
    </xf>
    <xf numFmtId="49" fontId="4" fillId="0" borderId="10" xfId="0" quotePrefix="1" applyNumberFormat="1" applyFont="1" applyFill="1" applyBorder="1" applyAlignment="1">
      <alignment horizontal="center" vertical="center" wrapText="1"/>
    </xf>
    <xf numFmtId="2" fontId="4" fillId="0" borderId="10" xfId="0" quotePrefix="1" applyNumberFormat="1" applyFont="1" applyFill="1" applyBorder="1" applyAlignment="1">
      <alignment horizontal="center" vertical="center" wrapText="1"/>
    </xf>
    <xf numFmtId="49" fontId="8" fillId="0" borderId="8" xfId="0" quotePrefix="1" applyNumberFormat="1" applyFont="1" applyFill="1" applyBorder="1" applyAlignment="1">
      <alignment horizontal="center" vertical="center" wrapText="1"/>
    </xf>
    <xf numFmtId="49" fontId="8" fillId="0" borderId="7" xfId="0" quotePrefix="1" applyNumberFormat="1" applyFont="1" applyFill="1" applyBorder="1" applyAlignment="1">
      <alignment horizontal="center" vertical="center" wrapText="1"/>
    </xf>
    <xf numFmtId="1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49" fontId="4" fillId="0" borderId="12" xfId="0" quotePrefix="1" applyNumberFormat="1" applyFont="1" applyFill="1" applyBorder="1" applyAlignment="1">
      <alignment horizontal="center" vertical="center" wrapText="1"/>
    </xf>
    <xf numFmtId="1" fontId="4" fillId="0" borderId="6" xfId="0" quotePrefix="1" applyNumberFormat="1" applyFont="1" applyFill="1" applyBorder="1" applyAlignment="1">
      <alignment horizontal="center" vertical="center" wrapText="1"/>
    </xf>
    <xf numFmtId="1" fontId="4" fillId="0" borderId="8" xfId="0" quotePrefix="1" applyNumberFormat="1" applyFont="1" applyFill="1" applyBorder="1" applyAlignment="1">
      <alignment horizontal="center" vertical="center" wrapText="1"/>
    </xf>
    <xf numFmtId="1" fontId="4" fillId="0" borderId="12" xfId="0" quotePrefix="1" applyNumberFormat="1" applyFont="1" applyFill="1" applyBorder="1" applyAlignment="1">
      <alignment horizontal="center" vertical="center" wrapText="1"/>
    </xf>
    <xf numFmtId="49" fontId="4" fillId="0" borderId="13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1" fontId="4" fillId="0" borderId="13" xfId="0" applyNumberFormat="1" applyFont="1" applyFill="1" applyBorder="1" applyAlignment="1">
      <alignment horizontal="center" vertical="center"/>
    </xf>
    <xf numFmtId="1" fontId="4" fillId="0" borderId="12" xfId="0" applyNumberFormat="1" applyFont="1" applyFill="1" applyBorder="1" applyAlignment="1">
      <alignment horizontal="center" vertical="center"/>
    </xf>
    <xf numFmtId="49" fontId="17" fillId="0" borderId="14" xfId="0" quotePrefix="1" applyNumberFormat="1" applyFont="1" applyFill="1" applyBorder="1" applyAlignment="1">
      <alignment horizontal="center" vertical="center"/>
    </xf>
    <xf numFmtId="49" fontId="17" fillId="0" borderId="10" xfId="0" quotePrefix="1" applyNumberFormat="1" applyFont="1" applyFill="1" applyBorder="1" applyAlignment="1">
      <alignment horizontal="center" vertical="center"/>
    </xf>
    <xf numFmtId="49" fontId="4" fillId="0" borderId="14" xfId="0" quotePrefix="1" applyNumberFormat="1" applyFont="1" applyFill="1" applyBorder="1" applyAlignment="1">
      <alignment horizontal="center" vertical="center" wrapText="1"/>
    </xf>
    <xf numFmtId="1" fontId="4" fillId="0" borderId="14" xfId="0" quotePrefix="1" applyNumberFormat="1" applyFont="1" applyFill="1" applyBorder="1" applyAlignment="1">
      <alignment horizontal="center" vertical="center" wrapText="1"/>
    </xf>
    <xf numFmtId="1" fontId="4" fillId="0" borderId="10" xfId="0" quotePrefix="1" applyNumberFormat="1" applyFont="1" applyFill="1" applyBorder="1" applyAlignment="1">
      <alignment horizontal="center" vertical="center" wrapText="1"/>
    </xf>
    <xf numFmtId="49" fontId="4" fillId="0" borderId="13" xfId="0" quotePrefix="1" applyNumberFormat="1" applyFont="1" applyFill="1" applyBorder="1" applyAlignment="1">
      <alignment horizontal="center" vertical="center" wrapText="1"/>
    </xf>
    <xf numFmtId="1" fontId="4" fillId="0" borderId="7" xfId="0" quotePrefix="1" applyNumberFormat="1" applyFont="1" applyFill="1" applyBorder="1" applyAlignment="1">
      <alignment horizontal="center" vertical="center" wrapText="1"/>
    </xf>
    <xf numFmtId="49" fontId="17" fillId="0" borderId="6" xfId="0" applyNumberFormat="1" applyFont="1" applyFill="1" applyBorder="1" applyAlignment="1">
      <alignment horizontal="center" vertical="center"/>
    </xf>
    <xf numFmtId="49" fontId="17" fillId="0" borderId="8" xfId="0" applyNumberFormat="1" applyFont="1" applyFill="1" applyBorder="1" applyAlignment="1">
      <alignment horizontal="center" vertical="center"/>
    </xf>
    <xf numFmtId="49" fontId="17" fillId="0" borderId="7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4" fillId="0" borderId="13" xfId="0" quotePrefix="1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8" xfId="0" quotePrefix="1" applyNumberFormat="1" applyFont="1" applyBorder="1" applyAlignment="1">
      <alignment horizontal="center" vertical="center"/>
    </xf>
    <xf numFmtId="49" fontId="5" fillId="0" borderId="7" xfId="0" quotePrefix="1" applyNumberFormat="1" applyFont="1" applyBorder="1" applyAlignment="1">
      <alignment horizontal="center" vertical="center"/>
    </xf>
    <xf numFmtId="1" fontId="5" fillId="0" borderId="6" xfId="0" quotePrefix="1" applyNumberFormat="1" applyFont="1" applyBorder="1" applyAlignment="1">
      <alignment horizontal="center" vertical="center"/>
    </xf>
    <xf numFmtId="1" fontId="5" fillId="0" borderId="8" xfId="0" quotePrefix="1" applyNumberFormat="1" applyFont="1" applyBorder="1" applyAlignment="1">
      <alignment horizontal="center" vertical="center"/>
    </xf>
    <xf numFmtId="1" fontId="5" fillId="0" borderId="7" xfId="0" quotePrefix="1" applyNumberFormat="1" applyFont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 wrapText="1"/>
    </xf>
    <xf numFmtId="49" fontId="5" fillId="0" borderId="8" xfId="0" quotePrefix="1" applyNumberFormat="1" applyFont="1" applyBorder="1" applyAlignment="1">
      <alignment horizontal="center" vertical="center" wrapText="1"/>
    </xf>
    <xf numFmtId="49" fontId="5" fillId="0" borderId="7" xfId="0" quotePrefix="1" applyNumberFormat="1" applyFont="1" applyBorder="1" applyAlignment="1">
      <alignment horizontal="center" vertical="center" wrapText="1"/>
    </xf>
    <xf numFmtId="2" fontId="5" fillId="0" borderId="6" xfId="0" quotePrefix="1" applyNumberFormat="1" applyFont="1" applyBorder="1" applyAlignment="1">
      <alignment horizontal="center" vertical="center"/>
    </xf>
    <xf numFmtId="2" fontId="5" fillId="0" borderId="8" xfId="0" quotePrefix="1" applyNumberFormat="1" applyFont="1" applyBorder="1" applyAlignment="1">
      <alignment horizontal="center" vertical="center"/>
    </xf>
    <xf numFmtId="2" fontId="5" fillId="0" borderId="7" xfId="0" quotePrefix="1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49" fontId="20" fillId="0" borderId="8" xfId="0" applyNumberFormat="1" applyFont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 wrapText="1"/>
    </xf>
    <xf numFmtId="49" fontId="20" fillId="0" borderId="8" xfId="0" applyNumberFormat="1" applyFont="1" applyBorder="1" applyAlignment="1">
      <alignment horizontal="center" vertical="center" wrapText="1"/>
    </xf>
    <xf numFmtId="49" fontId="20" fillId="0" borderId="7" xfId="0" applyNumberFormat="1" applyFont="1" applyBorder="1" applyAlignment="1">
      <alignment horizontal="center" vertical="center" wrapText="1"/>
    </xf>
    <xf numFmtId="2" fontId="20" fillId="0" borderId="6" xfId="0" applyNumberFormat="1" applyFont="1" applyBorder="1" applyAlignment="1">
      <alignment horizontal="center" vertical="center"/>
    </xf>
    <xf numFmtId="2" fontId="20" fillId="0" borderId="8" xfId="0" applyNumberFormat="1" applyFont="1" applyBorder="1" applyAlignment="1">
      <alignment horizontal="center" vertical="center"/>
    </xf>
    <xf numFmtId="2" fontId="20" fillId="0" borderId="7" xfId="0" applyNumberFormat="1" applyFont="1" applyBorder="1" applyAlignment="1">
      <alignment horizontal="center" vertical="center"/>
    </xf>
    <xf numFmtId="1" fontId="20" fillId="0" borderId="6" xfId="0" applyNumberFormat="1" applyFont="1" applyBorder="1" applyAlignment="1">
      <alignment horizontal="center" vertical="center"/>
    </xf>
    <xf numFmtId="1" fontId="20" fillId="0" borderId="8" xfId="0" applyNumberFormat="1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1" fontId="5" fillId="0" borderId="13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0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vertical="center" wrapText="1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8" xfId="0" applyNumberFormat="1" applyFont="1" applyFill="1" applyBorder="1" applyAlignment="1">
      <alignment horizontal="center" vertical="center"/>
    </xf>
    <xf numFmtId="0" fontId="17" fillId="0" borderId="12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49" fontId="15" fillId="0" borderId="6" xfId="0" applyNumberFormat="1" applyFont="1" applyFill="1" applyBorder="1" applyAlignment="1">
      <alignment horizontal="center" vertical="center" wrapText="1"/>
    </xf>
    <xf numFmtId="49" fontId="15" fillId="0" borderId="8" xfId="0" applyNumberFormat="1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1" fontId="15" fillId="0" borderId="6" xfId="0" applyNumberFormat="1" applyFont="1" applyFill="1" applyBorder="1" applyAlignment="1">
      <alignment horizontal="center" vertical="center" wrapText="1"/>
    </xf>
    <xf numFmtId="1" fontId="15" fillId="0" borderId="8" xfId="0" applyNumberFormat="1" applyFont="1" applyFill="1" applyBorder="1" applyAlignment="1">
      <alignment horizontal="center" vertical="center" wrapText="1"/>
    </xf>
    <xf numFmtId="1" fontId="15" fillId="0" borderId="7" xfId="0" applyNumberFormat="1" applyFont="1" applyFill="1" applyBorder="1" applyAlignment="1">
      <alignment horizontal="center" vertical="center" wrapText="1"/>
    </xf>
    <xf numFmtId="49" fontId="4" fillId="0" borderId="10" xfId="0" applyNumberFormat="1" applyFont="1" applyFill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1" fontId="5" fillId="0" borderId="6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10" fillId="0" borderId="6" xfId="0" quotePrefix="1" applyFont="1" applyFill="1" applyBorder="1" applyAlignment="1">
      <alignment horizontal="center" vertical="center" wrapText="1"/>
    </xf>
    <xf numFmtId="0" fontId="10" fillId="0" borderId="8" xfId="0" quotePrefix="1" applyFont="1" applyFill="1" applyBorder="1" applyAlignment="1">
      <alignment horizontal="center" vertical="center" wrapText="1"/>
    </xf>
    <xf numFmtId="0" fontId="10" fillId="0" borderId="7" xfId="0" quotePrefix="1" applyFont="1" applyFill="1" applyBorder="1" applyAlignment="1">
      <alignment horizontal="center" vertical="center" wrapText="1"/>
    </xf>
    <xf numFmtId="0" fontId="8" fillId="0" borderId="8" xfId="0" quotePrefix="1" applyFont="1" applyFill="1" applyBorder="1" applyAlignment="1">
      <alignment horizontal="center" vertical="center" wrapText="1"/>
    </xf>
    <xf numFmtId="0" fontId="10" fillId="0" borderId="1" xfId="0" quotePrefix="1" applyFont="1" applyFill="1" applyBorder="1" applyAlignment="1">
      <alignment horizontal="center" vertical="center" wrapText="1"/>
    </xf>
    <xf numFmtId="0" fontId="8" fillId="0" borderId="1" xfId="0" quotePrefix="1" applyFont="1" applyFill="1" applyBorder="1" applyAlignment="1">
      <alignment horizontal="center" vertical="center" wrapText="1"/>
    </xf>
    <xf numFmtId="0" fontId="6" fillId="0" borderId="6" xfId="0" quotePrefix="1" applyFont="1" applyFill="1" applyBorder="1" applyAlignment="1">
      <alignment horizontal="center" vertical="center" wrapText="1"/>
    </xf>
    <xf numFmtId="0" fontId="6" fillId="0" borderId="8" xfId="0" quotePrefix="1" applyFont="1" applyFill="1" applyBorder="1" applyAlignment="1">
      <alignment horizontal="center" vertical="center" wrapText="1"/>
    </xf>
    <xf numFmtId="0" fontId="6" fillId="0" borderId="7" xfId="0" quotePrefix="1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13</xdr:row>
      <xdr:rowOff>54249</xdr:rowOff>
    </xdr:from>
    <xdr:to>
      <xdr:col>13</xdr:col>
      <xdr:colOff>349074</xdr:colOff>
      <xdr:row>17</xdr:row>
      <xdr:rowOff>171450</xdr:rowOff>
    </xdr:to>
    <xdr:grpSp>
      <xdr:nvGrpSpPr>
        <xdr:cNvPr id="2" name="Group 1"/>
        <xdr:cNvGrpSpPr/>
      </xdr:nvGrpSpPr>
      <xdr:grpSpPr>
        <a:xfrm>
          <a:off x="9524" y="2930799"/>
          <a:ext cx="8016700" cy="8411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440760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54914"/>
          <a:ext cx="1440761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</a:t>
          </a:r>
          <a:r>
            <a:rPr lang="en-US" sz="800"/>
            <a:t>:</a:t>
          </a:r>
          <a:r>
            <a:rPr lang="en-US" sz="800" baseline="0"/>
            <a:t> Vacuum Cleaner</a:t>
          </a:r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7</xdr:col>
      <xdr:colOff>15319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449039" y="354901"/>
          <a:ext cx="1909555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en-US" sz="1100" baseline="0"/>
            <a:t> </a:t>
          </a:r>
          <a:r>
            <a:rPr lang="en-US" sz="1100"/>
            <a:t>Stand</a:t>
          </a:r>
        </a:p>
      </xdr:txBody>
    </xdr:sp>
    <xdr:clientData/>
  </xdr:twoCellAnchor>
  <xdr:twoCellAnchor editAs="absolute">
    <xdr:from>
      <xdr:col>7</xdr:col>
      <xdr:colOff>23589</xdr:colOff>
      <xdr:row>0</xdr:row>
      <xdr:rowOff>8279</xdr:rowOff>
    </xdr:from>
    <xdr:to>
      <xdr:col>10</xdr:col>
      <xdr:colOff>180975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366864" y="8279"/>
          <a:ext cx="189093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7</xdr:col>
      <xdr:colOff>15321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449039" y="8279"/>
          <a:ext cx="190955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283253</xdr:colOff>
      <xdr:row>0</xdr:row>
      <xdr:rowOff>8279</xdr:rowOff>
    </xdr:from>
    <xdr:to>
      <xdr:col>14</xdr:col>
      <xdr:colOff>9525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893353" y="8279"/>
          <a:ext cx="324099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7</xdr:col>
      <xdr:colOff>26898</xdr:colOff>
      <xdr:row>1</xdr:row>
      <xdr:rowOff>167712</xdr:rowOff>
    </xdr:from>
    <xdr:to>
      <xdr:col>9</xdr:col>
      <xdr:colOff>278275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370173" y="348687"/>
          <a:ext cx="151820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286564</xdr:colOff>
      <xdr:row>1</xdr:row>
      <xdr:rowOff>167727</xdr:rowOff>
    </xdr:from>
    <xdr:to>
      <xdr:col>11</xdr:col>
      <xdr:colOff>942215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896664" y="348702"/>
          <a:ext cx="157957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944209</xdr:colOff>
      <xdr:row>1</xdr:row>
      <xdr:rowOff>162751</xdr:rowOff>
    </xdr:from>
    <xdr:to>
      <xdr:col>14</xdr:col>
      <xdr:colOff>9185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478234" y="343726"/>
          <a:ext cx="165577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66675</xdr:colOff>
      <xdr:row>0</xdr:row>
      <xdr:rowOff>38100</xdr:rowOff>
    </xdr:from>
    <xdr:to>
      <xdr:col>16</xdr:col>
      <xdr:colOff>15875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38100"/>
          <a:ext cx="787400" cy="611505"/>
        </a:xfrm>
        <a:prstGeom prst="rect">
          <a:avLst/>
        </a:prstGeom>
      </xdr:spPr>
    </xdr:pic>
    <xdr:clientData/>
  </xdr:twoCellAnchor>
  <xdr:twoCellAnchor>
    <xdr:from>
      <xdr:col>0</xdr:col>
      <xdr:colOff>57149</xdr:colOff>
      <xdr:row>58</xdr:row>
      <xdr:rowOff>25674</xdr:rowOff>
    </xdr:from>
    <xdr:to>
      <xdr:col>13</xdr:col>
      <xdr:colOff>396699</xdr:colOff>
      <xdr:row>62</xdr:row>
      <xdr:rowOff>123825</xdr:rowOff>
    </xdr:to>
    <xdr:grpSp>
      <xdr:nvGrpSpPr>
        <xdr:cNvPr id="21" name="Group 20"/>
        <xdr:cNvGrpSpPr/>
      </xdr:nvGrpSpPr>
      <xdr:grpSpPr>
        <a:xfrm>
          <a:off x="57149" y="11198499"/>
          <a:ext cx="8016700" cy="8982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31</xdr:row>
      <xdr:rowOff>28577</xdr:rowOff>
    </xdr:from>
    <xdr:to>
      <xdr:col>3</xdr:col>
      <xdr:colOff>212035</xdr:colOff>
      <xdr:row>33</xdr:row>
      <xdr:rowOff>4973</xdr:rowOff>
    </xdr:to>
    <xdr:sp macro="" textlink="">
      <xdr:nvSpPr>
        <xdr:cNvPr id="30" name="TextBox 29"/>
        <xdr:cNvSpPr txBox="1"/>
      </xdr:nvSpPr>
      <xdr:spPr>
        <a:xfrm>
          <a:off x="38100" y="6162677"/>
          <a:ext cx="1440760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38100</xdr:colOff>
      <xdr:row>33</xdr:row>
      <xdr:rowOff>13260</xdr:rowOff>
    </xdr:from>
    <xdr:to>
      <xdr:col>3</xdr:col>
      <xdr:colOff>212036</xdr:colOff>
      <xdr:row>34</xdr:row>
      <xdr:rowOff>160707</xdr:rowOff>
    </xdr:to>
    <xdr:sp macro="" textlink="">
      <xdr:nvSpPr>
        <xdr:cNvPr id="31" name="TextBox 30"/>
        <xdr:cNvSpPr txBox="1"/>
      </xdr:nvSpPr>
      <xdr:spPr>
        <a:xfrm>
          <a:off x="38100" y="6509310"/>
          <a:ext cx="1440761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</a:t>
          </a:r>
          <a:r>
            <a:rPr lang="en-US" sz="800"/>
            <a:t>Vacuum Cleaner</a:t>
          </a:r>
        </a:p>
      </xdr:txBody>
    </xdr:sp>
    <xdr:clientData/>
  </xdr:twoCellAnchor>
  <xdr:twoCellAnchor editAs="absolute">
    <xdr:from>
      <xdr:col>3</xdr:col>
      <xdr:colOff>220314</xdr:colOff>
      <xdr:row>33</xdr:row>
      <xdr:rowOff>13247</xdr:rowOff>
    </xdr:from>
    <xdr:to>
      <xdr:col>7</xdr:col>
      <xdr:colOff>53419</xdr:colOff>
      <xdr:row>34</xdr:row>
      <xdr:rowOff>160694</xdr:rowOff>
    </xdr:to>
    <xdr:sp macro="" textlink="">
      <xdr:nvSpPr>
        <xdr:cNvPr id="32" name="TextBox 31"/>
        <xdr:cNvSpPr txBox="1"/>
      </xdr:nvSpPr>
      <xdr:spPr>
        <a:xfrm>
          <a:off x="1487139" y="6509297"/>
          <a:ext cx="1909555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7</xdr:col>
      <xdr:colOff>61689</xdr:colOff>
      <xdr:row>31</xdr:row>
      <xdr:rowOff>28575</xdr:rowOff>
    </xdr:from>
    <xdr:to>
      <xdr:col>10</xdr:col>
      <xdr:colOff>219075</xdr:colOff>
      <xdr:row>33</xdr:row>
      <xdr:rowOff>4572</xdr:rowOff>
    </xdr:to>
    <xdr:sp macro="" textlink="">
      <xdr:nvSpPr>
        <xdr:cNvPr id="33" name="TextBox 32"/>
        <xdr:cNvSpPr txBox="1"/>
      </xdr:nvSpPr>
      <xdr:spPr>
        <a:xfrm>
          <a:off x="3404964" y="6162675"/>
          <a:ext cx="189093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220314</xdr:colOff>
      <xdr:row>31</xdr:row>
      <xdr:rowOff>28575</xdr:rowOff>
    </xdr:from>
    <xdr:to>
      <xdr:col>7</xdr:col>
      <xdr:colOff>53421</xdr:colOff>
      <xdr:row>33</xdr:row>
      <xdr:rowOff>4572</xdr:rowOff>
    </xdr:to>
    <xdr:sp macro="" textlink="">
      <xdr:nvSpPr>
        <xdr:cNvPr id="34" name="TextBox 33"/>
        <xdr:cNvSpPr txBox="1"/>
      </xdr:nvSpPr>
      <xdr:spPr>
        <a:xfrm>
          <a:off x="1487139" y="6162675"/>
          <a:ext cx="190955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321353</xdr:colOff>
      <xdr:row>31</xdr:row>
      <xdr:rowOff>28575</xdr:rowOff>
    </xdr:from>
    <xdr:to>
      <xdr:col>14</xdr:col>
      <xdr:colOff>47625</xdr:colOff>
      <xdr:row>33</xdr:row>
      <xdr:rowOff>4572</xdr:rowOff>
    </xdr:to>
    <xdr:sp macro="" textlink="">
      <xdr:nvSpPr>
        <xdr:cNvPr id="35" name="TextBox 34"/>
        <xdr:cNvSpPr txBox="1"/>
      </xdr:nvSpPr>
      <xdr:spPr>
        <a:xfrm>
          <a:off x="4931453" y="6162675"/>
          <a:ext cx="324099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7</xdr:col>
      <xdr:colOff>64998</xdr:colOff>
      <xdr:row>33</xdr:row>
      <xdr:rowOff>7033</xdr:rowOff>
    </xdr:from>
    <xdr:to>
      <xdr:col>9</xdr:col>
      <xdr:colOff>316375</xdr:colOff>
      <xdr:row>34</xdr:row>
      <xdr:rowOff>154480</xdr:rowOff>
    </xdr:to>
    <xdr:sp macro="" textlink="">
      <xdr:nvSpPr>
        <xdr:cNvPr id="36" name="TextBox 35"/>
        <xdr:cNvSpPr txBox="1"/>
      </xdr:nvSpPr>
      <xdr:spPr>
        <a:xfrm>
          <a:off x="3408273" y="6503083"/>
          <a:ext cx="151820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324664</xdr:colOff>
      <xdr:row>33</xdr:row>
      <xdr:rowOff>7048</xdr:rowOff>
    </xdr:from>
    <xdr:to>
      <xdr:col>11</xdr:col>
      <xdr:colOff>980315</xdr:colOff>
      <xdr:row>34</xdr:row>
      <xdr:rowOff>154495</xdr:rowOff>
    </xdr:to>
    <xdr:sp macro="" textlink="">
      <xdr:nvSpPr>
        <xdr:cNvPr id="37" name="TextBox 36"/>
        <xdr:cNvSpPr txBox="1"/>
      </xdr:nvSpPr>
      <xdr:spPr>
        <a:xfrm>
          <a:off x="4934764" y="6503098"/>
          <a:ext cx="157957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982309</xdr:colOff>
      <xdr:row>33</xdr:row>
      <xdr:rowOff>2072</xdr:rowOff>
    </xdr:from>
    <xdr:to>
      <xdr:col>14</xdr:col>
      <xdr:colOff>39665</xdr:colOff>
      <xdr:row>34</xdr:row>
      <xdr:rowOff>149519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516334" y="6498122"/>
          <a:ext cx="164815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123825</xdr:colOff>
      <xdr:row>31</xdr:row>
      <xdr:rowOff>115546</xdr:rowOff>
    </xdr:from>
    <xdr:to>
      <xdr:col>16</xdr:col>
      <xdr:colOff>34925</xdr:colOff>
      <xdr:row>35</xdr:row>
      <xdr:rowOff>1246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8650" y="6249646"/>
          <a:ext cx="749300" cy="609600"/>
        </a:xfrm>
        <a:prstGeom prst="rect">
          <a:avLst/>
        </a:prstGeom>
      </xdr:spPr>
    </xdr:pic>
    <xdr:clientData/>
  </xdr:twoCellAnchor>
  <xdr:twoCellAnchor>
    <xdr:from>
      <xdr:col>0</xdr:col>
      <xdr:colOff>66674</xdr:colOff>
      <xdr:row>90</xdr:row>
      <xdr:rowOff>82824</xdr:rowOff>
    </xdr:from>
    <xdr:to>
      <xdr:col>13</xdr:col>
      <xdr:colOff>406224</xdr:colOff>
      <xdr:row>94</xdr:row>
      <xdr:rowOff>142875</xdr:rowOff>
    </xdr:to>
    <xdr:grpSp>
      <xdr:nvGrpSpPr>
        <xdr:cNvPr id="40" name="Group 39"/>
        <xdr:cNvGrpSpPr/>
      </xdr:nvGrpSpPr>
      <xdr:grpSpPr>
        <a:xfrm>
          <a:off x="66674" y="17294499"/>
          <a:ext cx="8016700" cy="783951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63</xdr:row>
      <xdr:rowOff>19052</xdr:rowOff>
    </xdr:from>
    <xdr:to>
      <xdr:col>3</xdr:col>
      <xdr:colOff>202510</xdr:colOff>
      <xdr:row>64</xdr:row>
      <xdr:rowOff>172613</xdr:rowOff>
    </xdr:to>
    <xdr:sp macro="" textlink="">
      <xdr:nvSpPr>
        <xdr:cNvPr id="49" name="TextBox 48"/>
        <xdr:cNvSpPr txBox="1"/>
      </xdr:nvSpPr>
      <xdr:spPr>
        <a:xfrm>
          <a:off x="28575" y="12172952"/>
          <a:ext cx="1440760" cy="334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28575</xdr:colOff>
      <xdr:row>64</xdr:row>
      <xdr:rowOff>180900</xdr:rowOff>
    </xdr:from>
    <xdr:to>
      <xdr:col>3</xdr:col>
      <xdr:colOff>202511</xdr:colOff>
      <xdr:row>66</xdr:row>
      <xdr:rowOff>111177</xdr:rowOff>
    </xdr:to>
    <xdr:sp macro="" textlink="">
      <xdr:nvSpPr>
        <xdr:cNvPr id="50" name="TextBox 49"/>
        <xdr:cNvSpPr txBox="1"/>
      </xdr:nvSpPr>
      <xdr:spPr>
        <a:xfrm>
          <a:off x="28575" y="12515775"/>
          <a:ext cx="1440761" cy="2922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210789</xdr:colOff>
      <xdr:row>64</xdr:row>
      <xdr:rowOff>180887</xdr:rowOff>
    </xdr:from>
    <xdr:to>
      <xdr:col>7</xdr:col>
      <xdr:colOff>43894</xdr:colOff>
      <xdr:row>66</xdr:row>
      <xdr:rowOff>111164</xdr:rowOff>
    </xdr:to>
    <xdr:sp macro="" textlink="">
      <xdr:nvSpPr>
        <xdr:cNvPr id="51" name="TextBox 50"/>
        <xdr:cNvSpPr txBox="1"/>
      </xdr:nvSpPr>
      <xdr:spPr>
        <a:xfrm>
          <a:off x="1477614" y="12515762"/>
          <a:ext cx="1909555" cy="2922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Tractor</a:t>
          </a:r>
        </a:p>
      </xdr:txBody>
    </xdr:sp>
    <xdr:clientData/>
  </xdr:twoCellAnchor>
  <xdr:twoCellAnchor editAs="absolute">
    <xdr:from>
      <xdr:col>7</xdr:col>
      <xdr:colOff>52164</xdr:colOff>
      <xdr:row>63</xdr:row>
      <xdr:rowOff>19050</xdr:rowOff>
    </xdr:from>
    <xdr:to>
      <xdr:col>10</xdr:col>
      <xdr:colOff>209550</xdr:colOff>
      <xdr:row>64</xdr:row>
      <xdr:rowOff>172212</xdr:rowOff>
    </xdr:to>
    <xdr:sp macro="" textlink="">
      <xdr:nvSpPr>
        <xdr:cNvPr id="52" name="TextBox 51"/>
        <xdr:cNvSpPr txBox="1"/>
      </xdr:nvSpPr>
      <xdr:spPr>
        <a:xfrm>
          <a:off x="3395439" y="12172950"/>
          <a:ext cx="1890936" cy="334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63</xdr:row>
      <xdr:rowOff>19050</xdr:rowOff>
    </xdr:from>
    <xdr:to>
      <xdr:col>7</xdr:col>
      <xdr:colOff>43896</xdr:colOff>
      <xdr:row>64</xdr:row>
      <xdr:rowOff>172212</xdr:rowOff>
    </xdr:to>
    <xdr:sp macro="" textlink="">
      <xdr:nvSpPr>
        <xdr:cNvPr id="53" name="TextBox 52"/>
        <xdr:cNvSpPr txBox="1"/>
      </xdr:nvSpPr>
      <xdr:spPr>
        <a:xfrm>
          <a:off x="1477614" y="12172950"/>
          <a:ext cx="1909557" cy="334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311828</xdr:colOff>
      <xdr:row>63</xdr:row>
      <xdr:rowOff>19050</xdr:rowOff>
    </xdr:from>
    <xdr:to>
      <xdr:col>14</xdr:col>
      <xdr:colOff>38100</xdr:colOff>
      <xdr:row>64</xdr:row>
      <xdr:rowOff>172212</xdr:rowOff>
    </xdr:to>
    <xdr:sp macro="" textlink="">
      <xdr:nvSpPr>
        <xdr:cNvPr id="54" name="TextBox 53"/>
        <xdr:cNvSpPr txBox="1"/>
      </xdr:nvSpPr>
      <xdr:spPr>
        <a:xfrm>
          <a:off x="4921928" y="12172950"/>
          <a:ext cx="3240997" cy="334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7</xdr:col>
      <xdr:colOff>55473</xdr:colOff>
      <xdr:row>64</xdr:row>
      <xdr:rowOff>174673</xdr:rowOff>
    </xdr:from>
    <xdr:to>
      <xdr:col>9</xdr:col>
      <xdr:colOff>306850</xdr:colOff>
      <xdr:row>66</xdr:row>
      <xdr:rowOff>104950</xdr:rowOff>
    </xdr:to>
    <xdr:sp macro="" textlink="">
      <xdr:nvSpPr>
        <xdr:cNvPr id="55" name="TextBox 54"/>
        <xdr:cNvSpPr txBox="1"/>
      </xdr:nvSpPr>
      <xdr:spPr>
        <a:xfrm>
          <a:off x="3398748" y="12509548"/>
          <a:ext cx="1518202" cy="2922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315139</xdr:colOff>
      <xdr:row>64</xdr:row>
      <xdr:rowOff>174688</xdr:rowOff>
    </xdr:from>
    <xdr:to>
      <xdr:col>11</xdr:col>
      <xdr:colOff>970790</xdr:colOff>
      <xdr:row>66</xdr:row>
      <xdr:rowOff>104965</xdr:rowOff>
    </xdr:to>
    <xdr:sp macro="" textlink="">
      <xdr:nvSpPr>
        <xdr:cNvPr id="56" name="TextBox 55"/>
        <xdr:cNvSpPr txBox="1"/>
      </xdr:nvSpPr>
      <xdr:spPr>
        <a:xfrm>
          <a:off x="4925239" y="12509563"/>
          <a:ext cx="1579576" cy="2922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972784</xdr:colOff>
      <xdr:row>64</xdr:row>
      <xdr:rowOff>169712</xdr:rowOff>
    </xdr:from>
    <xdr:to>
      <xdr:col>14</xdr:col>
      <xdr:colOff>37760</xdr:colOff>
      <xdr:row>66</xdr:row>
      <xdr:rowOff>99989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506809" y="12504587"/>
          <a:ext cx="1655776" cy="2922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133350</xdr:colOff>
      <xdr:row>63</xdr:row>
      <xdr:rowOff>48871</xdr:rowOff>
    </xdr:from>
    <xdr:to>
      <xdr:col>16</xdr:col>
      <xdr:colOff>44450</xdr:colOff>
      <xdr:row>66</xdr:row>
      <xdr:rowOff>77446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75" y="12202771"/>
          <a:ext cx="749300" cy="571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95</xdr:row>
      <xdr:rowOff>15242</xdr:rowOff>
    </xdr:from>
    <xdr:to>
      <xdr:col>3</xdr:col>
      <xdr:colOff>192985</xdr:colOff>
      <xdr:row>96</xdr:row>
      <xdr:rowOff>168803</xdr:rowOff>
    </xdr:to>
    <xdr:sp macro="" textlink="">
      <xdr:nvSpPr>
        <xdr:cNvPr id="59" name="TextBox 58"/>
        <xdr:cNvSpPr txBox="1"/>
      </xdr:nvSpPr>
      <xdr:spPr>
        <a:xfrm>
          <a:off x="19050" y="18131792"/>
          <a:ext cx="1440760" cy="334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19050</xdr:colOff>
      <xdr:row>96</xdr:row>
      <xdr:rowOff>177090</xdr:rowOff>
    </xdr:from>
    <xdr:to>
      <xdr:col>3</xdr:col>
      <xdr:colOff>192986</xdr:colOff>
      <xdr:row>98</xdr:row>
      <xdr:rowOff>141657</xdr:rowOff>
    </xdr:to>
    <xdr:sp macro="" textlink="">
      <xdr:nvSpPr>
        <xdr:cNvPr id="60" name="TextBox 59"/>
        <xdr:cNvSpPr txBox="1"/>
      </xdr:nvSpPr>
      <xdr:spPr>
        <a:xfrm>
          <a:off x="19050" y="18474615"/>
          <a:ext cx="1440761" cy="3265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201264</xdr:colOff>
      <xdr:row>96</xdr:row>
      <xdr:rowOff>177077</xdr:rowOff>
    </xdr:from>
    <xdr:to>
      <xdr:col>7</xdr:col>
      <xdr:colOff>34369</xdr:colOff>
      <xdr:row>98</xdr:row>
      <xdr:rowOff>141644</xdr:rowOff>
    </xdr:to>
    <xdr:sp macro="" textlink="">
      <xdr:nvSpPr>
        <xdr:cNvPr id="61" name="TextBox 60"/>
        <xdr:cNvSpPr txBox="1"/>
      </xdr:nvSpPr>
      <xdr:spPr>
        <a:xfrm>
          <a:off x="1468089" y="18474602"/>
          <a:ext cx="1909555" cy="3265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Tractor/Driver</a:t>
          </a:r>
        </a:p>
      </xdr:txBody>
    </xdr:sp>
    <xdr:clientData/>
  </xdr:twoCellAnchor>
  <xdr:twoCellAnchor editAs="absolute">
    <xdr:from>
      <xdr:col>7</xdr:col>
      <xdr:colOff>42639</xdr:colOff>
      <xdr:row>95</xdr:row>
      <xdr:rowOff>15240</xdr:rowOff>
    </xdr:from>
    <xdr:to>
      <xdr:col>10</xdr:col>
      <xdr:colOff>200025</xdr:colOff>
      <xdr:row>96</xdr:row>
      <xdr:rowOff>168402</xdr:rowOff>
    </xdr:to>
    <xdr:sp macro="" textlink="">
      <xdr:nvSpPr>
        <xdr:cNvPr id="62" name="TextBox 61"/>
        <xdr:cNvSpPr txBox="1"/>
      </xdr:nvSpPr>
      <xdr:spPr>
        <a:xfrm>
          <a:off x="3385914" y="18131790"/>
          <a:ext cx="1890936" cy="334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95</xdr:row>
      <xdr:rowOff>15240</xdr:rowOff>
    </xdr:from>
    <xdr:to>
      <xdr:col>7</xdr:col>
      <xdr:colOff>34371</xdr:colOff>
      <xdr:row>96</xdr:row>
      <xdr:rowOff>168402</xdr:rowOff>
    </xdr:to>
    <xdr:sp macro="" textlink="">
      <xdr:nvSpPr>
        <xdr:cNvPr id="63" name="TextBox 62"/>
        <xdr:cNvSpPr txBox="1"/>
      </xdr:nvSpPr>
      <xdr:spPr>
        <a:xfrm>
          <a:off x="1468089" y="18131790"/>
          <a:ext cx="1909557" cy="334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302303</xdr:colOff>
      <xdr:row>95</xdr:row>
      <xdr:rowOff>15240</xdr:rowOff>
    </xdr:from>
    <xdr:to>
      <xdr:col>14</xdr:col>
      <xdr:colOff>28575</xdr:colOff>
      <xdr:row>96</xdr:row>
      <xdr:rowOff>168402</xdr:rowOff>
    </xdr:to>
    <xdr:sp macro="" textlink="">
      <xdr:nvSpPr>
        <xdr:cNvPr id="64" name="TextBox 63"/>
        <xdr:cNvSpPr txBox="1"/>
      </xdr:nvSpPr>
      <xdr:spPr>
        <a:xfrm>
          <a:off x="4912403" y="18131790"/>
          <a:ext cx="3240997" cy="334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7</xdr:col>
      <xdr:colOff>45948</xdr:colOff>
      <xdr:row>96</xdr:row>
      <xdr:rowOff>170863</xdr:rowOff>
    </xdr:from>
    <xdr:to>
      <xdr:col>9</xdr:col>
      <xdr:colOff>297325</xdr:colOff>
      <xdr:row>98</xdr:row>
      <xdr:rowOff>135430</xdr:rowOff>
    </xdr:to>
    <xdr:sp macro="" textlink="">
      <xdr:nvSpPr>
        <xdr:cNvPr id="65" name="TextBox 64"/>
        <xdr:cNvSpPr txBox="1"/>
      </xdr:nvSpPr>
      <xdr:spPr>
        <a:xfrm>
          <a:off x="3389223" y="18468388"/>
          <a:ext cx="1518202" cy="3265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305614</xdr:colOff>
      <xdr:row>96</xdr:row>
      <xdr:rowOff>170878</xdr:rowOff>
    </xdr:from>
    <xdr:to>
      <xdr:col>11</xdr:col>
      <xdr:colOff>961265</xdr:colOff>
      <xdr:row>98</xdr:row>
      <xdr:rowOff>135445</xdr:rowOff>
    </xdr:to>
    <xdr:sp macro="" textlink="">
      <xdr:nvSpPr>
        <xdr:cNvPr id="66" name="TextBox 65"/>
        <xdr:cNvSpPr txBox="1"/>
      </xdr:nvSpPr>
      <xdr:spPr>
        <a:xfrm>
          <a:off x="4915714" y="18468403"/>
          <a:ext cx="1579576" cy="3265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963259</xdr:colOff>
      <xdr:row>96</xdr:row>
      <xdr:rowOff>165902</xdr:rowOff>
    </xdr:from>
    <xdr:to>
      <xdr:col>14</xdr:col>
      <xdr:colOff>20615</xdr:colOff>
      <xdr:row>98</xdr:row>
      <xdr:rowOff>130469</xdr:rowOff>
    </xdr:to>
    <xdr:sp macro="" textlink="">
      <xdr:nvSpPr>
        <xdr:cNvPr id="67" name="TextBox 66"/>
        <xdr:cNvSpPr txBox="1">
          <a:spLocks/>
        </xdr:cNvSpPr>
      </xdr:nvSpPr>
      <xdr:spPr>
        <a:xfrm>
          <a:off x="6497284" y="18463427"/>
          <a:ext cx="1648156" cy="3265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123825</xdr:colOff>
      <xdr:row>95</xdr:row>
      <xdr:rowOff>45061</xdr:rowOff>
    </xdr:from>
    <xdr:to>
      <xdr:col>16</xdr:col>
      <xdr:colOff>40640</xdr:colOff>
      <xdr:row>98</xdr:row>
      <xdr:rowOff>107926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8650" y="18161611"/>
          <a:ext cx="755015" cy="60579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110</xdr:row>
      <xdr:rowOff>19050</xdr:rowOff>
    </xdr:from>
    <xdr:to>
      <xdr:col>13</xdr:col>
      <xdr:colOff>396700</xdr:colOff>
      <xdr:row>114</xdr:row>
      <xdr:rowOff>117201</xdr:rowOff>
    </xdr:to>
    <xdr:grpSp>
      <xdr:nvGrpSpPr>
        <xdr:cNvPr id="69" name="Group 68"/>
        <xdr:cNvGrpSpPr/>
      </xdr:nvGrpSpPr>
      <xdr:grpSpPr>
        <a:xfrm>
          <a:off x="57150" y="21469350"/>
          <a:ext cx="8016700" cy="822051"/>
          <a:chOff x="19049" y="4911999"/>
          <a:chExt cx="7026100" cy="830330"/>
        </a:xfrm>
      </xdr:grpSpPr>
      <xdr:sp macro="" textlink="">
        <xdr:nvSpPr>
          <xdr:cNvPr id="70" name="Rounded Rectangle 6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1" name="Rounded Rectangle 7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3" name="Flowchart: Connector 7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Flowchart: Connector 7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148</xdr:row>
      <xdr:rowOff>19050</xdr:rowOff>
    </xdr:from>
    <xdr:to>
      <xdr:col>13</xdr:col>
      <xdr:colOff>396700</xdr:colOff>
      <xdr:row>152</xdr:row>
      <xdr:rowOff>117201</xdr:rowOff>
    </xdr:to>
    <xdr:grpSp>
      <xdr:nvGrpSpPr>
        <xdr:cNvPr id="78" name="Group 77"/>
        <xdr:cNvGrpSpPr/>
      </xdr:nvGrpSpPr>
      <xdr:grpSpPr>
        <a:xfrm>
          <a:off x="57150" y="29108400"/>
          <a:ext cx="8016700" cy="822051"/>
          <a:chOff x="19049" y="4911999"/>
          <a:chExt cx="7026100" cy="830330"/>
        </a:xfrm>
      </xdr:grpSpPr>
      <xdr:sp macro="" textlink="">
        <xdr:nvSpPr>
          <xdr:cNvPr id="79" name="Rounded Rectangle 7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0" name="Rounded Rectangle 7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1" name="Rounded Rectangle 8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82" name="Flowchart: Connector 8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Flowchart: Connector 8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Flowchart: Connector 8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Flowchart: Connector 8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Flowchart: Connector 8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19050</xdr:colOff>
      <xdr:row>124</xdr:row>
      <xdr:rowOff>85313</xdr:rowOff>
    </xdr:from>
    <xdr:to>
      <xdr:col>3</xdr:col>
      <xdr:colOff>192985</xdr:colOff>
      <xdr:row>126</xdr:row>
      <xdr:rowOff>48374</xdr:rowOff>
    </xdr:to>
    <xdr:sp macro="" textlink="">
      <xdr:nvSpPr>
        <xdr:cNvPr id="87" name="TextBox 86"/>
        <xdr:cNvSpPr txBox="1"/>
      </xdr:nvSpPr>
      <xdr:spPr>
        <a:xfrm>
          <a:off x="19050" y="24069263"/>
          <a:ext cx="1440760" cy="3250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19050</xdr:colOff>
      <xdr:row>126</xdr:row>
      <xdr:rowOff>56661</xdr:rowOff>
    </xdr:from>
    <xdr:to>
      <xdr:col>3</xdr:col>
      <xdr:colOff>192986</xdr:colOff>
      <xdr:row>128</xdr:row>
      <xdr:rowOff>21228</xdr:rowOff>
    </xdr:to>
    <xdr:sp macro="" textlink="">
      <xdr:nvSpPr>
        <xdr:cNvPr id="88" name="TextBox 87"/>
        <xdr:cNvSpPr txBox="1"/>
      </xdr:nvSpPr>
      <xdr:spPr>
        <a:xfrm>
          <a:off x="19050" y="24402561"/>
          <a:ext cx="1440761" cy="3265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201264</xdr:colOff>
      <xdr:row>126</xdr:row>
      <xdr:rowOff>56648</xdr:rowOff>
    </xdr:from>
    <xdr:to>
      <xdr:col>7</xdr:col>
      <xdr:colOff>34369</xdr:colOff>
      <xdr:row>128</xdr:row>
      <xdr:rowOff>21215</xdr:rowOff>
    </xdr:to>
    <xdr:sp macro="" textlink="">
      <xdr:nvSpPr>
        <xdr:cNvPr id="89" name="TextBox 88"/>
        <xdr:cNvSpPr txBox="1"/>
      </xdr:nvSpPr>
      <xdr:spPr>
        <a:xfrm>
          <a:off x="1468089" y="24402548"/>
          <a:ext cx="1909555" cy="3265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Driver</a:t>
          </a:r>
        </a:p>
      </xdr:txBody>
    </xdr:sp>
    <xdr:clientData/>
  </xdr:twoCellAnchor>
  <xdr:twoCellAnchor editAs="absolute">
    <xdr:from>
      <xdr:col>7</xdr:col>
      <xdr:colOff>42639</xdr:colOff>
      <xdr:row>124</xdr:row>
      <xdr:rowOff>85311</xdr:rowOff>
    </xdr:from>
    <xdr:to>
      <xdr:col>10</xdr:col>
      <xdr:colOff>200025</xdr:colOff>
      <xdr:row>126</xdr:row>
      <xdr:rowOff>47973</xdr:rowOff>
    </xdr:to>
    <xdr:sp macro="" textlink="">
      <xdr:nvSpPr>
        <xdr:cNvPr id="90" name="TextBox 89"/>
        <xdr:cNvSpPr txBox="1"/>
      </xdr:nvSpPr>
      <xdr:spPr>
        <a:xfrm>
          <a:off x="3385914" y="24069261"/>
          <a:ext cx="1890936" cy="3246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124</xdr:row>
      <xdr:rowOff>85311</xdr:rowOff>
    </xdr:from>
    <xdr:to>
      <xdr:col>7</xdr:col>
      <xdr:colOff>34371</xdr:colOff>
      <xdr:row>126</xdr:row>
      <xdr:rowOff>47973</xdr:rowOff>
    </xdr:to>
    <xdr:sp macro="" textlink="">
      <xdr:nvSpPr>
        <xdr:cNvPr id="91" name="TextBox 90"/>
        <xdr:cNvSpPr txBox="1"/>
      </xdr:nvSpPr>
      <xdr:spPr>
        <a:xfrm>
          <a:off x="1468089" y="24069261"/>
          <a:ext cx="1909557" cy="3246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302303</xdr:colOff>
      <xdr:row>124</xdr:row>
      <xdr:rowOff>85311</xdr:rowOff>
    </xdr:from>
    <xdr:to>
      <xdr:col>14</xdr:col>
      <xdr:colOff>28575</xdr:colOff>
      <xdr:row>126</xdr:row>
      <xdr:rowOff>47973</xdr:rowOff>
    </xdr:to>
    <xdr:sp macro="" textlink="">
      <xdr:nvSpPr>
        <xdr:cNvPr id="92" name="TextBox 91"/>
        <xdr:cNvSpPr txBox="1"/>
      </xdr:nvSpPr>
      <xdr:spPr>
        <a:xfrm>
          <a:off x="4912403" y="24069261"/>
          <a:ext cx="3240997" cy="3246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7</xdr:col>
      <xdr:colOff>45948</xdr:colOff>
      <xdr:row>126</xdr:row>
      <xdr:rowOff>50434</xdr:rowOff>
    </xdr:from>
    <xdr:to>
      <xdr:col>9</xdr:col>
      <xdr:colOff>297325</xdr:colOff>
      <xdr:row>128</xdr:row>
      <xdr:rowOff>15001</xdr:rowOff>
    </xdr:to>
    <xdr:sp macro="" textlink="">
      <xdr:nvSpPr>
        <xdr:cNvPr id="93" name="TextBox 92"/>
        <xdr:cNvSpPr txBox="1"/>
      </xdr:nvSpPr>
      <xdr:spPr>
        <a:xfrm>
          <a:off x="3389223" y="24396334"/>
          <a:ext cx="1518202" cy="3265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305614</xdr:colOff>
      <xdr:row>126</xdr:row>
      <xdr:rowOff>50449</xdr:rowOff>
    </xdr:from>
    <xdr:to>
      <xdr:col>11</xdr:col>
      <xdr:colOff>961265</xdr:colOff>
      <xdr:row>128</xdr:row>
      <xdr:rowOff>15016</xdr:rowOff>
    </xdr:to>
    <xdr:sp macro="" textlink="">
      <xdr:nvSpPr>
        <xdr:cNvPr id="94" name="TextBox 93"/>
        <xdr:cNvSpPr txBox="1"/>
      </xdr:nvSpPr>
      <xdr:spPr>
        <a:xfrm>
          <a:off x="4915714" y="24396349"/>
          <a:ext cx="1579576" cy="3265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963259</xdr:colOff>
      <xdr:row>126</xdr:row>
      <xdr:rowOff>45473</xdr:rowOff>
    </xdr:from>
    <xdr:to>
      <xdr:col>14</xdr:col>
      <xdr:colOff>20615</xdr:colOff>
      <xdr:row>128</xdr:row>
      <xdr:rowOff>10040</xdr:rowOff>
    </xdr:to>
    <xdr:sp macro="" textlink="">
      <xdr:nvSpPr>
        <xdr:cNvPr id="95" name="TextBox 94"/>
        <xdr:cNvSpPr txBox="1">
          <a:spLocks/>
        </xdr:cNvSpPr>
      </xdr:nvSpPr>
      <xdr:spPr>
        <a:xfrm>
          <a:off x="6497284" y="24391373"/>
          <a:ext cx="1648156" cy="3265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123825</xdr:colOff>
      <xdr:row>124</xdr:row>
      <xdr:rowOff>115132</xdr:rowOff>
    </xdr:from>
    <xdr:to>
      <xdr:col>16</xdr:col>
      <xdr:colOff>40640</xdr:colOff>
      <xdr:row>127</xdr:row>
      <xdr:rowOff>177997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8650" y="24099082"/>
          <a:ext cx="755015" cy="6057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30538</xdr:colOff>
      <xdr:row>30</xdr:row>
      <xdr:rowOff>69395</xdr:rowOff>
    </xdr:from>
    <xdr:to>
      <xdr:col>14</xdr:col>
      <xdr:colOff>255788</xdr:colOff>
      <xdr:row>34</xdr:row>
      <xdr:rowOff>129445</xdr:rowOff>
    </xdr:to>
    <xdr:grpSp>
      <xdr:nvGrpSpPr>
        <xdr:cNvPr id="2" name="Group 1"/>
        <xdr:cNvGrpSpPr/>
      </xdr:nvGrpSpPr>
      <xdr:grpSpPr>
        <a:xfrm>
          <a:off x="30538" y="5784395"/>
          <a:ext cx="7571924" cy="788920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3333" cy="678784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Product:Damper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r>
              <a:rPr lang="fa-IR" sz="1100"/>
              <a:t>نساجی</a:t>
            </a:r>
            <a:r>
              <a:rPr lang="fa-IR" sz="1100" baseline="0"/>
              <a:t> بروجرد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97.11.17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30538</xdr:colOff>
      <xdr:row>16</xdr:row>
      <xdr:rowOff>93002</xdr:rowOff>
    </xdr:from>
    <xdr:to>
      <xdr:col>14</xdr:col>
      <xdr:colOff>255788</xdr:colOff>
      <xdr:row>20</xdr:row>
      <xdr:rowOff>153052</xdr:rowOff>
    </xdr:to>
    <xdr:grpSp>
      <xdr:nvGrpSpPr>
        <xdr:cNvPr id="2" name="Group 1"/>
        <xdr:cNvGrpSpPr/>
      </xdr:nvGrpSpPr>
      <xdr:grpSpPr>
        <a:xfrm>
          <a:off x="30538" y="3245777"/>
          <a:ext cx="7569025" cy="783950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4575" cy="675057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</a:t>
            </a:r>
            <a:r>
              <a:rPr lang="en-US" sz="1000" baseline="0"/>
              <a:t> Coil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r>
              <a:rPr lang="fa-IR" sz="1100"/>
              <a:t>نساجی</a:t>
            </a:r>
            <a:r>
              <a:rPr lang="fa-IR" sz="1100" baseline="0"/>
              <a:t> بروجرد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97.11.17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52950</xdr:colOff>
      <xdr:row>19</xdr:row>
      <xdr:rowOff>36973</xdr:rowOff>
    </xdr:from>
    <xdr:to>
      <xdr:col>14</xdr:col>
      <xdr:colOff>278200</xdr:colOff>
      <xdr:row>23</xdr:row>
      <xdr:rowOff>97022</xdr:rowOff>
    </xdr:to>
    <xdr:grpSp>
      <xdr:nvGrpSpPr>
        <xdr:cNvPr id="2" name="Group 1"/>
        <xdr:cNvGrpSpPr/>
      </xdr:nvGrpSpPr>
      <xdr:grpSpPr>
        <a:xfrm>
          <a:off x="52950" y="3747582"/>
          <a:ext cx="7571924" cy="788918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3333" cy="678784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Product:Static</a:t>
            </a:r>
            <a:r>
              <a:rPr lang="en-US" sz="1000" baseline="0"/>
              <a:t> Water Filter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r>
              <a:rPr lang="fa-IR" sz="1100"/>
              <a:t>نساجی</a:t>
            </a:r>
            <a:r>
              <a:rPr lang="fa-IR" sz="1100" baseline="0"/>
              <a:t> بروجرد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97.11.17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39342</xdr:colOff>
      <xdr:row>11</xdr:row>
      <xdr:rowOff>64188</xdr:rowOff>
    </xdr:from>
    <xdr:to>
      <xdr:col>14</xdr:col>
      <xdr:colOff>264592</xdr:colOff>
      <xdr:row>15</xdr:row>
      <xdr:rowOff>124236</xdr:rowOff>
    </xdr:to>
    <xdr:grpSp>
      <xdr:nvGrpSpPr>
        <xdr:cNvPr id="2" name="Group 1"/>
        <xdr:cNvGrpSpPr/>
      </xdr:nvGrpSpPr>
      <xdr:grpSpPr>
        <a:xfrm>
          <a:off x="39342" y="2335534"/>
          <a:ext cx="7566827" cy="792740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9704" cy="681651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Product:Pumping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r>
              <a:rPr lang="fa-IR" sz="1100"/>
              <a:t>نساجی</a:t>
            </a:r>
            <a:r>
              <a:rPr lang="fa-IR" sz="1100" baseline="0"/>
              <a:t> بروجرد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97.11.17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39342</xdr:colOff>
      <xdr:row>27</xdr:row>
      <xdr:rowOff>64188</xdr:rowOff>
    </xdr:from>
    <xdr:to>
      <xdr:col>14</xdr:col>
      <xdr:colOff>264592</xdr:colOff>
      <xdr:row>31</xdr:row>
      <xdr:rowOff>124236</xdr:rowOff>
    </xdr:to>
    <xdr:grpSp>
      <xdr:nvGrpSpPr>
        <xdr:cNvPr id="2" name="Group 1"/>
        <xdr:cNvGrpSpPr/>
      </xdr:nvGrpSpPr>
      <xdr:grpSpPr>
        <a:xfrm>
          <a:off x="39342" y="5232536"/>
          <a:ext cx="7571924" cy="788917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3333" cy="678784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Product:Ventilation Door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r>
              <a:rPr lang="fa-IR" sz="1100"/>
              <a:t>نساجی</a:t>
            </a:r>
            <a:r>
              <a:rPr lang="fa-IR" sz="1100" baseline="0"/>
              <a:t> بروجرد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97.11.17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26</xdr:row>
      <xdr:rowOff>64188</xdr:rowOff>
    </xdr:from>
    <xdr:to>
      <xdr:col>14</xdr:col>
      <xdr:colOff>272874</xdr:colOff>
      <xdr:row>30</xdr:row>
      <xdr:rowOff>124235</xdr:rowOff>
    </xdr:to>
    <xdr:grpSp>
      <xdr:nvGrpSpPr>
        <xdr:cNvPr id="2" name="Group 1"/>
        <xdr:cNvGrpSpPr/>
      </xdr:nvGrpSpPr>
      <xdr:grpSpPr>
        <a:xfrm>
          <a:off x="47624" y="5157992"/>
          <a:ext cx="7571924" cy="788917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3333" cy="678784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Product:Air Washer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Nozzle</a:t>
            </a:r>
            <a:r>
              <a:rPr lang="en-US" sz="1100" baseline="0"/>
              <a:t> Bank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r>
              <a:rPr lang="fa-IR" sz="1100"/>
              <a:t>نساجی</a:t>
            </a:r>
            <a:r>
              <a:rPr lang="fa-IR" sz="1100" baseline="0"/>
              <a:t> بروجرد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97.11.17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44919</xdr:rowOff>
    </xdr:from>
    <xdr:to>
      <xdr:col>14</xdr:col>
      <xdr:colOff>129512</xdr:colOff>
      <xdr:row>29</xdr:row>
      <xdr:rowOff>93008</xdr:rowOff>
    </xdr:to>
    <xdr:grpSp>
      <xdr:nvGrpSpPr>
        <xdr:cNvPr id="2" name="Group 1"/>
        <xdr:cNvGrpSpPr/>
      </xdr:nvGrpSpPr>
      <xdr:grpSpPr>
        <a:xfrm>
          <a:off x="0" y="4956506"/>
          <a:ext cx="7583860" cy="776959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771007" cy="678784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Product:Air Washer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Eliminator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r>
              <a:rPr lang="fa-IR" sz="1100"/>
              <a:t>نساجی</a:t>
            </a:r>
            <a:r>
              <a:rPr lang="fa-IR" sz="1100" baseline="0"/>
              <a:t> بروجرد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2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97.11.17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22411</xdr:colOff>
      <xdr:row>33</xdr:row>
      <xdr:rowOff>11205</xdr:rowOff>
    </xdr:from>
    <xdr:to>
      <xdr:col>17</xdr:col>
      <xdr:colOff>104961</xdr:colOff>
      <xdr:row>36</xdr:row>
      <xdr:rowOff>143337</xdr:rowOff>
    </xdr:to>
    <xdr:grpSp>
      <xdr:nvGrpSpPr>
        <xdr:cNvPr id="22" name="Group 21"/>
        <xdr:cNvGrpSpPr/>
      </xdr:nvGrpSpPr>
      <xdr:grpSpPr>
        <a:xfrm>
          <a:off x="22411" y="6380531"/>
          <a:ext cx="8771007" cy="678784"/>
          <a:chOff x="0" y="8279"/>
          <a:chExt cx="832167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Product:Air Washer</a:t>
            </a:r>
            <a:endParaRPr lang="en-US" sz="1050"/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Eliminator</a:t>
            </a: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r>
              <a:rPr lang="fa-IR" sz="1100"/>
              <a:t>نساجی</a:t>
            </a:r>
            <a:r>
              <a:rPr lang="fa-IR" sz="1100" baseline="0"/>
              <a:t> بروجرد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2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97.11.17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22411</xdr:colOff>
      <xdr:row>45</xdr:row>
      <xdr:rowOff>22411</xdr:rowOff>
    </xdr:from>
    <xdr:to>
      <xdr:col>14</xdr:col>
      <xdr:colOff>151923</xdr:colOff>
      <xdr:row>49</xdr:row>
      <xdr:rowOff>70501</xdr:rowOff>
    </xdr:to>
    <xdr:grpSp>
      <xdr:nvGrpSpPr>
        <xdr:cNvPr id="33" name="Group 32"/>
        <xdr:cNvGrpSpPr/>
      </xdr:nvGrpSpPr>
      <xdr:grpSpPr>
        <a:xfrm>
          <a:off x="22411" y="9033889"/>
          <a:ext cx="7583860" cy="776960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21</xdr:row>
      <xdr:rowOff>130449</xdr:rowOff>
    </xdr:from>
    <xdr:to>
      <xdr:col>14</xdr:col>
      <xdr:colOff>272874</xdr:colOff>
      <xdr:row>26</xdr:row>
      <xdr:rowOff>8279</xdr:rowOff>
    </xdr:to>
    <xdr:grpSp>
      <xdr:nvGrpSpPr>
        <xdr:cNvPr id="2" name="Group 1"/>
        <xdr:cNvGrpSpPr/>
      </xdr:nvGrpSpPr>
      <xdr:grpSpPr>
        <a:xfrm>
          <a:off x="47624" y="4313166"/>
          <a:ext cx="7571924" cy="788917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5" name="Group 14"/>
        <xdr:cNvGrpSpPr/>
      </xdr:nvGrpSpPr>
      <xdr:grpSpPr>
        <a:xfrm>
          <a:off x="0" y="8279"/>
          <a:ext cx="8663333" cy="678784"/>
          <a:chOff x="0" y="8279"/>
          <a:chExt cx="8321675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Product:Air Washer</a:t>
            </a:r>
            <a:endParaRPr lang="en-US" sz="105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Air Baffle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r>
              <a:rPr lang="fa-IR" sz="1100"/>
              <a:t>نساجی</a:t>
            </a:r>
            <a:r>
              <a:rPr lang="fa-IR" sz="1100" baseline="0"/>
              <a:t> بروجرد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97.11.17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54249</xdr:rowOff>
    </xdr:from>
    <xdr:to>
      <xdr:col>13</xdr:col>
      <xdr:colOff>349074</xdr:colOff>
      <xdr:row>23</xdr:row>
      <xdr:rowOff>171450</xdr:rowOff>
    </xdr:to>
    <xdr:grpSp>
      <xdr:nvGrpSpPr>
        <xdr:cNvPr id="2" name="Group 1"/>
        <xdr:cNvGrpSpPr/>
      </xdr:nvGrpSpPr>
      <xdr:grpSpPr>
        <a:xfrm>
          <a:off x="9524" y="3872532"/>
          <a:ext cx="7628246" cy="846070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absoluteAnchor>
    <xdr:pos x="0" y="8281"/>
    <xdr:ext cx="1345510" cy="347871"/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absoluteAnchor>
  <xdr:absoluteAnchor>
    <xdr:pos x="0" y="364439"/>
    <xdr:ext cx="1345511" cy="347472"/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</a:t>
          </a:r>
          <a:r>
            <a:rPr lang="en-US" sz="900" baseline="0"/>
            <a:t> Dust Collector</a:t>
          </a:r>
          <a:endParaRPr lang="en-US" sz="1000"/>
        </a:p>
      </xdr:txBody>
    </xdr:sp>
    <xdr:clientData/>
  </xdr:absoluteAnchor>
  <xdr:absoluteAnchor>
    <xdr:pos x="1353789" y="364426"/>
    <xdr:ext cx="1785730" cy="347472"/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absoluteAnchor>
  <xdr:absoluteAnchor>
    <xdr:pos x="3147789" y="8279"/>
    <xdr:ext cx="1729011" cy="347472"/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absoluteAnchor>
  <xdr:absoluteAnchor>
    <xdr:pos x="1353789" y="8279"/>
    <xdr:ext cx="1785732" cy="347472"/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</a:t>
          </a:r>
          <a:endParaRPr lang="en-US" sz="1100">
            <a:cs typeface="B Nazanin" panose="00000400000000000000" pitchFamily="2" charset="-78"/>
          </a:endParaRPr>
        </a:p>
      </xdr:txBody>
    </xdr:sp>
    <xdr:clientData/>
  </xdr:absoluteAnchor>
  <xdr:absoluteAnchor>
    <xdr:pos x="4550453" y="8279"/>
    <xdr:ext cx="3012397" cy="347472"/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absoluteAnchor>
  <xdr:absoluteAnchor>
    <xdr:pos x="3151098" y="358212"/>
    <xdr:ext cx="1394377" cy="347472"/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4</a:t>
          </a:r>
          <a:endParaRPr lang="en-US" sz="1050"/>
        </a:p>
      </xdr:txBody>
    </xdr:sp>
    <xdr:clientData/>
  </xdr:absoluteAnchor>
  <xdr:absoluteAnchor>
    <xdr:pos x="4553764" y="358227"/>
    <xdr:ext cx="1503376" cy="347472"/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absoluteAnchor>
  <xdr:absoluteAnchor>
    <xdr:pos x="6059134" y="353251"/>
    <xdr:ext cx="1503376" cy="347472"/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absoluteAnchor>
  <xdr:absoluteAnchor>
    <xdr:pos x="7620000" y="38100"/>
    <xdr:ext cx="711200" cy="640080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absoluteAnchor>
  <xdr:twoCellAnchor>
    <xdr:from>
      <xdr:col>0</xdr:col>
      <xdr:colOff>19049</xdr:colOff>
      <xdr:row>47</xdr:row>
      <xdr:rowOff>130449</xdr:rowOff>
    </xdr:from>
    <xdr:to>
      <xdr:col>13</xdr:col>
      <xdr:colOff>358599</xdr:colOff>
      <xdr:row>52</xdr:row>
      <xdr:rowOff>38100</xdr:rowOff>
    </xdr:to>
    <xdr:grpSp>
      <xdr:nvGrpSpPr>
        <xdr:cNvPr id="21" name="Group 20"/>
        <xdr:cNvGrpSpPr/>
      </xdr:nvGrpSpPr>
      <xdr:grpSpPr>
        <a:xfrm>
          <a:off x="19049" y="9415253"/>
          <a:ext cx="7628246" cy="818738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absoluteAnchor>
    <xdr:pos x="19050" y="6296027"/>
    <xdr:ext cx="1345510" cy="357396"/>
    <xdr:sp macro="" textlink="">
      <xdr:nvSpPr>
        <xdr:cNvPr id="30" name="TextBox 29"/>
        <xdr:cNvSpPr txBox="1"/>
      </xdr:nvSpPr>
      <xdr:spPr>
        <a:xfrm>
          <a:off x="19050" y="629602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absoluteAnchor>
  <xdr:absoluteAnchor>
    <xdr:pos x="19050" y="6661710"/>
    <xdr:ext cx="1345511" cy="337947"/>
    <xdr:sp macro="" textlink="">
      <xdr:nvSpPr>
        <xdr:cNvPr id="31" name="TextBox 30"/>
        <xdr:cNvSpPr txBox="1"/>
      </xdr:nvSpPr>
      <xdr:spPr>
        <a:xfrm>
          <a:off x="19050" y="666171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Dust</a:t>
          </a:r>
          <a:r>
            <a:rPr lang="en-US" sz="900" baseline="0"/>
            <a:t> Collector</a:t>
          </a:r>
          <a:endParaRPr lang="en-US" sz="1000"/>
        </a:p>
      </xdr:txBody>
    </xdr:sp>
    <xdr:clientData/>
  </xdr:absoluteAnchor>
  <xdr:absoluteAnchor>
    <xdr:pos x="1372839" y="6661697"/>
    <xdr:ext cx="1785730" cy="337947"/>
    <xdr:sp macro="" textlink="">
      <xdr:nvSpPr>
        <xdr:cNvPr id="32" name="TextBox 31"/>
        <xdr:cNvSpPr txBox="1"/>
      </xdr:nvSpPr>
      <xdr:spPr>
        <a:xfrm>
          <a:off x="1372839" y="666169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absoluteAnchor>
  <xdr:absoluteAnchor>
    <xdr:pos x="3166839" y="6296025"/>
    <xdr:ext cx="1729011" cy="356997"/>
    <xdr:sp macro="" textlink="">
      <xdr:nvSpPr>
        <xdr:cNvPr id="33" name="TextBox 32"/>
        <xdr:cNvSpPr txBox="1"/>
      </xdr:nvSpPr>
      <xdr:spPr>
        <a:xfrm>
          <a:off x="3166839" y="629602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absoluteAnchor>
  <xdr:absoluteAnchor>
    <xdr:pos x="1372839" y="6296025"/>
    <xdr:ext cx="1785732" cy="356997"/>
    <xdr:sp macro="" textlink="">
      <xdr:nvSpPr>
        <xdr:cNvPr id="34" name="TextBox 33"/>
        <xdr:cNvSpPr txBox="1"/>
      </xdr:nvSpPr>
      <xdr:spPr>
        <a:xfrm>
          <a:off x="1372839" y="629602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absoluteAnchor>
  <xdr:absoluteAnchor>
    <xdr:pos x="4569503" y="6296025"/>
    <xdr:ext cx="3012397" cy="356997"/>
    <xdr:sp macro="" textlink="">
      <xdr:nvSpPr>
        <xdr:cNvPr id="35" name="TextBox 34"/>
        <xdr:cNvSpPr txBox="1"/>
      </xdr:nvSpPr>
      <xdr:spPr>
        <a:xfrm>
          <a:off x="4569503" y="629602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absoluteAnchor>
  <xdr:absoluteAnchor>
    <xdr:pos x="3170148" y="6655483"/>
    <xdr:ext cx="1394377" cy="337947"/>
    <xdr:sp macro="" textlink="">
      <xdr:nvSpPr>
        <xdr:cNvPr id="36" name="TextBox 35"/>
        <xdr:cNvSpPr txBox="1"/>
      </xdr:nvSpPr>
      <xdr:spPr>
        <a:xfrm>
          <a:off x="3170148" y="665548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4</a:t>
          </a:r>
          <a:endParaRPr lang="en-US" sz="1050"/>
        </a:p>
      </xdr:txBody>
    </xdr:sp>
    <xdr:clientData/>
  </xdr:absoluteAnchor>
  <xdr:absoluteAnchor>
    <xdr:pos x="4572814" y="6655498"/>
    <xdr:ext cx="1503376" cy="337947"/>
    <xdr:sp macro="" textlink="">
      <xdr:nvSpPr>
        <xdr:cNvPr id="37" name="TextBox 36"/>
        <xdr:cNvSpPr txBox="1"/>
      </xdr:nvSpPr>
      <xdr:spPr>
        <a:xfrm>
          <a:off x="4572814" y="665549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absoluteAnchor>
  <xdr:absoluteAnchor>
    <xdr:pos x="6078184" y="6650522"/>
    <xdr:ext cx="1503376" cy="337947"/>
    <xdr:sp macro="" textlink="">
      <xdr:nvSpPr>
        <xdr:cNvPr id="38" name="TextBox 37"/>
        <xdr:cNvSpPr txBox="1">
          <a:spLocks/>
        </xdr:cNvSpPr>
      </xdr:nvSpPr>
      <xdr:spPr>
        <a:xfrm>
          <a:off x="6078184" y="665052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absoluteAnchor>
  <xdr:absoluteAnchor>
    <xdr:pos x="7639050" y="6325846"/>
    <xdr:ext cx="711200" cy="640080"/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325846"/>
          <a:ext cx="711200" cy="640080"/>
        </a:xfrm>
        <a:prstGeom prst="rect">
          <a:avLst/>
        </a:prstGeom>
      </xdr:spPr>
    </xdr:pic>
    <xdr:clientData/>
  </xdr:absoluteAnchor>
  <xdr:twoCellAnchor>
    <xdr:from>
      <xdr:col>0</xdr:col>
      <xdr:colOff>28575</xdr:colOff>
      <xdr:row>63</xdr:row>
      <xdr:rowOff>0</xdr:rowOff>
    </xdr:from>
    <xdr:to>
      <xdr:col>15</xdr:col>
      <xdr:colOff>368300</xdr:colOff>
      <xdr:row>66</xdr:row>
      <xdr:rowOff>132132</xdr:rowOff>
    </xdr:to>
    <xdr:grpSp>
      <xdr:nvGrpSpPr>
        <xdr:cNvPr id="40" name="Group 39"/>
        <xdr:cNvGrpSpPr/>
      </xdr:nvGrpSpPr>
      <xdr:grpSpPr>
        <a:xfrm>
          <a:off x="28575" y="12200283"/>
          <a:ext cx="8514660" cy="678784"/>
          <a:chOff x="28575" y="12573000"/>
          <a:chExt cx="8331200" cy="703632"/>
        </a:xfrm>
      </xdr:grpSpPr>
      <xdr:sp macro="" textlink="">
        <xdr:nvSpPr>
          <xdr:cNvPr id="41" name="TextBox 40"/>
          <xdr:cNvSpPr txBox="1"/>
        </xdr:nvSpPr>
        <xdr:spPr>
          <a:xfrm>
            <a:off x="28575" y="12573002"/>
            <a:ext cx="1345510" cy="35739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42" name="TextBox 41"/>
          <xdr:cNvSpPr txBox="1"/>
        </xdr:nvSpPr>
        <xdr:spPr>
          <a:xfrm>
            <a:off x="28575" y="12938685"/>
            <a:ext cx="1345511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 Dust</a:t>
            </a:r>
            <a:r>
              <a:rPr lang="en-US" sz="900" baseline="0"/>
              <a:t> Collector</a:t>
            </a:r>
            <a:endParaRPr lang="en-US" sz="1000"/>
          </a:p>
        </xdr:txBody>
      </xdr:sp>
      <xdr:sp macro="" textlink="">
        <xdr:nvSpPr>
          <xdr:cNvPr id="43" name="TextBox 42"/>
          <xdr:cNvSpPr txBox="1"/>
        </xdr:nvSpPr>
        <xdr:spPr>
          <a:xfrm>
            <a:off x="1382364" y="12938672"/>
            <a:ext cx="1785730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Fan</a:t>
            </a:r>
          </a:p>
        </xdr:txBody>
      </xdr:sp>
      <xdr:sp macro="" textlink="">
        <xdr:nvSpPr>
          <xdr:cNvPr id="44" name="TextBox 43"/>
          <xdr:cNvSpPr txBox="1"/>
        </xdr:nvSpPr>
        <xdr:spPr>
          <a:xfrm>
            <a:off x="3176364" y="12573000"/>
            <a:ext cx="1729011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 </a:t>
            </a:r>
            <a:endParaRPr lang="en-US" sz="1100"/>
          </a:p>
        </xdr:txBody>
      </xdr:sp>
      <xdr:sp macro="" textlink="">
        <xdr:nvSpPr>
          <xdr:cNvPr id="45" name="TextBox 44"/>
          <xdr:cNvSpPr txBox="1"/>
        </xdr:nvSpPr>
        <xdr:spPr>
          <a:xfrm>
            <a:off x="1382364" y="12573000"/>
            <a:ext cx="1785732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4579028" y="12573000"/>
            <a:ext cx="3012397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47" name="TextBox 46"/>
          <xdr:cNvSpPr txBox="1"/>
        </xdr:nvSpPr>
        <xdr:spPr>
          <a:xfrm>
            <a:off x="3179673" y="12932458"/>
            <a:ext cx="1394377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4</a:t>
            </a:r>
            <a:endParaRPr lang="en-US" sz="1050"/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4582339" y="12932473"/>
            <a:ext cx="1503376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49" name="TextBox 48"/>
          <xdr:cNvSpPr txBox="1">
            <a:spLocks/>
          </xdr:cNvSpPr>
        </xdr:nvSpPr>
        <xdr:spPr>
          <a:xfrm>
            <a:off x="6087709" y="12927497"/>
            <a:ext cx="1503376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97.08.30</a:t>
            </a:r>
          </a:p>
        </xdr:txBody>
      </xdr:sp>
      <xdr:pic>
        <xdr:nvPicPr>
          <xdr:cNvPr id="50" name="Picture 4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48575" y="12602821"/>
            <a:ext cx="711200" cy="64008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47625</xdr:colOff>
      <xdr:row>99</xdr:row>
      <xdr:rowOff>66675</xdr:rowOff>
    </xdr:from>
    <xdr:to>
      <xdr:col>16</xdr:col>
      <xdr:colOff>15875</xdr:colOff>
      <xdr:row>103</xdr:row>
      <xdr:rowOff>8307</xdr:rowOff>
    </xdr:to>
    <xdr:grpSp>
      <xdr:nvGrpSpPr>
        <xdr:cNvPr id="51" name="Group 50"/>
        <xdr:cNvGrpSpPr/>
      </xdr:nvGrpSpPr>
      <xdr:grpSpPr>
        <a:xfrm>
          <a:off x="47625" y="18760523"/>
          <a:ext cx="8540750" cy="670501"/>
          <a:chOff x="47625" y="18735675"/>
          <a:chExt cx="8331200" cy="703632"/>
        </a:xfrm>
      </xdr:grpSpPr>
      <xdr:sp macro="" textlink="">
        <xdr:nvSpPr>
          <xdr:cNvPr id="52" name="TextBox 51"/>
          <xdr:cNvSpPr txBox="1"/>
        </xdr:nvSpPr>
        <xdr:spPr>
          <a:xfrm>
            <a:off x="47625" y="18735677"/>
            <a:ext cx="1345510" cy="35739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47625" y="19101360"/>
            <a:ext cx="1345511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 Dust</a:t>
            </a:r>
            <a:r>
              <a:rPr lang="en-US" sz="900" baseline="0"/>
              <a:t> Collector</a:t>
            </a:r>
            <a:endParaRPr lang="en-US" sz="1000"/>
          </a:p>
        </xdr:txBody>
      </xdr:sp>
      <xdr:sp macro="" textlink="">
        <xdr:nvSpPr>
          <xdr:cNvPr id="54" name="TextBox 53"/>
          <xdr:cNvSpPr txBox="1"/>
        </xdr:nvSpPr>
        <xdr:spPr>
          <a:xfrm>
            <a:off x="1401414" y="19101347"/>
            <a:ext cx="1785730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Nozzle</a:t>
            </a:r>
            <a:r>
              <a:rPr lang="en-US" sz="1100" baseline="0"/>
              <a:t> Pack</a:t>
            </a:r>
            <a:endParaRPr lang="en-US" sz="1100"/>
          </a:p>
        </xdr:txBody>
      </xdr:sp>
      <xdr:sp macro="" textlink="">
        <xdr:nvSpPr>
          <xdr:cNvPr id="55" name="TextBox 54"/>
          <xdr:cNvSpPr txBox="1"/>
        </xdr:nvSpPr>
        <xdr:spPr>
          <a:xfrm>
            <a:off x="3195414" y="18735675"/>
            <a:ext cx="1729011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 </a:t>
            </a:r>
            <a:endParaRPr lang="en-US" sz="1100"/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1401414" y="18735675"/>
            <a:ext cx="1785732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7" name="TextBox 56"/>
          <xdr:cNvSpPr txBox="1"/>
        </xdr:nvSpPr>
        <xdr:spPr>
          <a:xfrm>
            <a:off x="4598078" y="18735675"/>
            <a:ext cx="3012397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58" name="TextBox 57"/>
          <xdr:cNvSpPr txBox="1"/>
        </xdr:nvSpPr>
        <xdr:spPr>
          <a:xfrm>
            <a:off x="3198723" y="19095133"/>
            <a:ext cx="1394377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4</a:t>
            </a:r>
            <a:endParaRPr lang="en-US" sz="1050"/>
          </a:p>
        </xdr:txBody>
      </xdr:sp>
      <xdr:sp macro="" textlink="">
        <xdr:nvSpPr>
          <xdr:cNvPr id="59" name="TextBox 58"/>
          <xdr:cNvSpPr txBox="1"/>
        </xdr:nvSpPr>
        <xdr:spPr>
          <a:xfrm>
            <a:off x="4601389" y="19095148"/>
            <a:ext cx="1503376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60" name="TextBox 59"/>
          <xdr:cNvSpPr txBox="1">
            <a:spLocks/>
          </xdr:cNvSpPr>
        </xdr:nvSpPr>
        <xdr:spPr>
          <a:xfrm>
            <a:off x="6106759" y="19090172"/>
            <a:ext cx="1503376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97.08.30</a:t>
            </a:r>
          </a:p>
        </xdr:txBody>
      </xdr:sp>
      <xdr:pic>
        <xdr:nvPicPr>
          <xdr:cNvPr id="61" name="Picture 6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67625" y="18765496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17</xdr:col>
      <xdr:colOff>234950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988425" cy="675057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26</xdr:row>
      <xdr:rowOff>47625</xdr:rowOff>
    </xdr:from>
    <xdr:to>
      <xdr:col>15</xdr:col>
      <xdr:colOff>396700</xdr:colOff>
      <xdr:row>30</xdr:row>
      <xdr:rowOff>136251</xdr:rowOff>
    </xdr:to>
    <xdr:grpSp>
      <xdr:nvGrpSpPr>
        <xdr:cNvPr id="13" name="Group 12"/>
        <xdr:cNvGrpSpPr/>
      </xdr:nvGrpSpPr>
      <xdr:grpSpPr>
        <a:xfrm>
          <a:off x="47625" y="5124450"/>
          <a:ext cx="8264350" cy="8125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17</xdr:col>
      <xdr:colOff>234950</xdr:colOff>
      <xdr:row>35</xdr:row>
      <xdr:rowOff>132132</xdr:rowOff>
    </xdr:to>
    <xdr:grpSp>
      <xdr:nvGrpSpPr>
        <xdr:cNvPr id="22" name="Group 21"/>
        <xdr:cNvGrpSpPr/>
      </xdr:nvGrpSpPr>
      <xdr:grpSpPr>
        <a:xfrm>
          <a:off x="0" y="6162675"/>
          <a:ext cx="8988425" cy="675057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7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57</xdr:row>
      <xdr:rowOff>66675</xdr:rowOff>
    </xdr:from>
    <xdr:to>
      <xdr:col>15</xdr:col>
      <xdr:colOff>396700</xdr:colOff>
      <xdr:row>61</xdr:row>
      <xdr:rowOff>155301</xdr:rowOff>
    </xdr:to>
    <xdr:grpSp>
      <xdr:nvGrpSpPr>
        <xdr:cNvPr id="33" name="Group 32"/>
        <xdr:cNvGrpSpPr/>
      </xdr:nvGrpSpPr>
      <xdr:grpSpPr>
        <a:xfrm>
          <a:off x="47625" y="10915650"/>
          <a:ext cx="8264350" cy="812526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18</xdr:col>
      <xdr:colOff>187325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997950" cy="675057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ثابت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18</xdr:row>
      <xdr:rowOff>123825</xdr:rowOff>
    </xdr:from>
    <xdr:to>
      <xdr:col>16</xdr:col>
      <xdr:colOff>349075</xdr:colOff>
      <xdr:row>23</xdr:row>
      <xdr:rowOff>21951</xdr:rowOff>
    </xdr:to>
    <xdr:grpSp>
      <xdr:nvGrpSpPr>
        <xdr:cNvPr id="13" name="Group 12"/>
        <xdr:cNvGrpSpPr/>
      </xdr:nvGrpSpPr>
      <xdr:grpSpPr>
        <a:xfrm>
          <a:off x="47625" y="3743325"/>
          <a:ext cx="8311975" cy="803001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18</xdr:col>
      <xdr:colOff>34925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9017000" cy="675057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23</xdr:row>
      <xdr:rowOff>85725</xdr:rowOff>
    </xdr:from>
    <xdr:to>
      <xdr:col>16</xdr:col>
      <xdr:colOff>368125</xdr:colOff>
      <xdr:row>27</xdr:row>
      <xdr:rowOff>174351</xdr:rowOff>
    </xdr:to>
    <xdr:grpSp>
      <xdr:nvGrpSpPr>
        <xdr:cNvPr id="13" name="Group 12"/>
        <xdr:cNvGrpSpPr/>
      </xdr:nvGrpSpPr>
      <xdr:grpSpPr>
        <a:xfrm>
          <a:off x="76200" y="4810125"/>
          <a:ext cx="8331025" cy="8125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30</xdr:row>
      <xdr:rowOff>0</xdr:rowOff>
    </xdr:from>
    <xdr:to>
      <xdr:col>18</xdr:col>
      <xdr:colOff>34925</xdr:colOff>
      <xdr:row>33</xdr:row>
      <xdr:rowOff>132132</xdr:rowOff>
    </xdr:to>
    <xdr:grpSp>
      <xdr:nvGrpSpPr>
        <xdr:cNvPr id="22" name="Group 21"/>
        <xdr:cNvGrpSpPr/>
      </xdr:nvGrpSpPr>
      <xdr:grpSpPr>
        <a:xfrm>
          <a:off x="0" y="5991225"/>
          <a:ext cx="9017000" cy="675057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7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16</xdr:col>
      <xdr:colOff>310975</xdr:colOff>
      <xdr:row>54</xdr:row>
      <xdr:rowOff>2901</xdr:rowOff>
    </xdr:to>
    <xdr:grpSp>
      <xdr:nvGrpSpPr>
        <xdr:cNvPr id="33" name="Group 32"/>
        <xdr:cNvGrpSpPr/>
      </xdr:nvGrpSpPr>
      <xdr:grpSpPr>
        <a:xfrm>
          <a:off x="38100" y="10058400"/>
          <a:ext cx="8311975" cy="803001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159750" cy="675057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قاب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6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24</xdr:row>
      <xdr:rowOff>66675</xdr:rowOff>
    </xdr:from>
    <xdr:to>
      <xdr:col>16</xdr:col>
      <xdr:colOff>320500</xdr:colOff>
      <xdr:row>28</xdr:row>
      <xdr:rowOff>155301</xdr:rowOff>
    </xdr:to>
    <xdr:grpSp>
      <xdr:nvGrpSpPr>
        <xdr:cNvPr id="13" name="Group 12"/>
        <xdr:cNvGrpSpPr/>
      </xdr:nvGrpSpPr>
      <xdr:grpSpPr>
        <a:xfrm>
          <a:off x="38100" y="4838700"/>
          <a:ext cx="8302450" cy="8125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18</xdr:col>
      <xdr:colOff>25400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969375" cy="675057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سیستم</a:t>
            </a:r>
            <a:r>
              <a:rPr lang="fa-IR" sz="1100" baseline="0">
                <a:cs typeface="B Nazanin" panose="00000400000000000000" pitchFamily="2" charset="-78"/>
              </a:rPr>
              <a:t> محرک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7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133350</xdr:colOff>
      <xdr:row>27</xdr:row>
      <xdr:rowOff>123825</xdr:rowOff>
    </xdr:from>
    <xdr:to>
      <xdr:col>16</xdr:col>
      <xdr:colOff>234775</xdr:colOff>
      <xdr:row>32</xdr:row>
      <xdr:rowOff>21951</xdr:rowOff>
    </xdr:to>
    <xdr:grpSp>
      <xdr:nvGrpSpPr>
        <xdr:cNvPr id="13" name="Group 12"/>
        <xdr:cNvGrpSpPr/>
      </xdr:nvGrpSpPr>
      <xdr:grpSpPr>
        <a:xfrm>
          <a:off x="133350" y="5200650"/>
          <a:ext cx="8321500" cy="803001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30538</xdr:colOff>
      <xdr:row>10</xdr:row>
      <xdr:rowOff>102527</xdr:rowOff>
    </xdr:from>
    <xdr:to>
      <xdr:col>14</xdr:col>
      <xdr:colOff>255788</xdr:colOff>
      <xdr:row>14</xdr:row>
      <xdr:rowOff>162576</xdr:rowOff>
    </xdr:to>
    <xdr:grpSp>
      <xdr:nvGrpSpPr>
        <xdr:cNvPr id="2" name="Group 1"/>
        <xdr:cNvGrpSpPr/>
      </xdr:nvGrpSpPr>
      <xdr:grpSpPr>
        <a:xfrm>
          <a:off x="30538" y="2169452"/>
          <a:ext cx="7569025" cy="783949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4575" cy="675057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Product:Insurment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r>
              <a:rPr lang="fa-IR" sz="1100"/>
              <a:t>نساجی</a:t>
            </a:r>
            <a:r>
              <a:rPr lang="fa-IR" sz="1100" baseline="0"/>
              <a:t> بروجرد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97.11.17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30538</xdr:colOff>
      <xdr:row>16</xdr:row>
      <xdr:rowOff>102527</xdr:rowOff>
    </xdr:from>
    <xdr:to>
      <xdr:col>14</xdr:col>
      <xdr:colOff>255788</xdr:colOff>
      <xdr:row>20</xdr:row>
      <xdr:rowOff>162576</xdr:rowOff>
    </xdr:to>
    <xdr:grpSp>
      <xdr:nvGrpSpPr>
        <xdr:cNvPr id="2" name="Group 1"/>
        <xdr:cNvGrpSpPr/>
      </xdr:nvGrpSpPr>
      <xdr:grpSpPr>
        <a:xfrm>
          <a:off x="30538" y="3255302"/>
          <a:ext cx="7569025" cy="783949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4575" cy="675057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Product:Fan</a:t>
            </a:r>
            <a:r>
              <a:rPr lang="en-US" sz="1000" baseline="0"/>
              <a:t> Case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r>
              <a:rPr lang="fa-IR" sz="1100"/>
              <a:t>نساجی</a:t>
            </a:r>
            <a:r>
              <a:rPr lang="fa-IR" sz="1100" baseline="0"/>
              <a:t> بروجرد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97.11.17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47"/>
  <sheetViews>
    <sheetView view="pageLayout" zoomScaleNormal="100" workbookViewId="0">
      <selection activeCell="H7" sqref="H7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8.125" customWidth="1"/>
    <col min="5" max="5" width="5.875" customWidth="1"/>
    <col min="6" max="6" width="5.375" customWidth="1"/>
    <col min="7" max="7" width="7.375" customWidth="1"/>
    <col min="8" max="8" width="9.125" bestFit="1" customWidth="1"/>
    <col min="9" max="9" width="7.25" bestFit="1" customWidth="1"/>
    <col min="10" max="10" width="6" bestFit="1" customWidth="1"/>
    <col min="11" max="11" width="5.875" customWidth="1"/>
    <col min="12" max="12" width="17.375" bestFit="1" customWidth="1"/>
    <col min="13" max="13" width="10.375" customWidth="1"/>
    <col min="14" max="14" width="5.75" customWidth="1"/>
    <col min="15" max="15" width="5.625" customWidth="1"/>
    <col min="16" max="16" width="5.125" customWidth="1"/>
    <col min="17" max="18" width="8" customWidth="1"/>
  </cols>
  <sheetData>
    <row r="4" spans="1:17" ht="12" customHeight="1" x14ac:dyDescent="0.2"/>
    <row r="5" spans="1:17" ht="5.25" customHeight="1" x14ac:dyDescent="0.2"/>
    <row r="6" spans="1:17" ht="19.5" x14ac:dyDescent="0.2">
      <c r="A6" s="276" t="s">
        <v>0</v>
      </c>
      <c r="B6" s="277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17" t="s">
        <v>15</v>
      </c>
    </row>
    <row r="7" spans="1:17" ht="49.15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2" t="s">
        <v>16</v>
      </c>
    </row>
    <row r="8" spans="1:17" ht="14.25" customHeight="1" x14ac:dyDescent="0.2">
      <c r="A8" s="278" t="s">
        <v>259</v>
      </c>
      <c r="B8" s="279">
        <v>1</v>
      </c>
      <c r="C8" s="278" t="s">
        <v>260</v>
      </c>
      <c r="D8" s="280" t="s">
        <v>261</v>
      </c>
      <c r="E8" s="275">
        <v>1</v>
      </c>
      <c r="F8" s="279">
        <f>E8*B8</f>
        <v>1</v>
      </c>
      <c r="G8" s="281" t="s">
        <v>260</v>
      </c>
      <c r="H8" s="284" t="s">
        <v>262</v>
      </c>
      <c r="I8" s="287">
        <v>1</v>
      </c>
      <c r="J8" s="287">
        <f>I8*F8</f>
        <v>1</v>
      </c>
      <c r="K8" s="49" t="s">
        <v>260</v>
      </c>
      <c r="L8" s="43" t="s">
        <v>263</v>
      </c>
      <c r="M8" s="44" t="s">
        <v>264</v>
      </c>
      <c r="N8" s="45">
        <v>1</v>
      </c>
      <c r="O8" s="45">
        <f t="shared" ref="O8:O13" si="0">N8*$E$8</f>
        <v>1</v>
      </c>
      <c r="P8" s="46">
        <f t="shared" ref="P8:P13" si="1">O8*$B$8</f>
        <v>1</v>
      </c>
      <c r="Q8" s="47"/>
    </row>
    <row r="9" spans="1:17" ht="14.25" customHeight="1" x14ac:dyDescent="0.2">
      <c r="A9" s="278"/>
      <c r="B9" s="279"/>
      <c r="C9" s="278"/>
      <c r="D9" s="280"/>
      <c r="E9" s="275"/>
      <c r="F9" s="279"/>
      <c r="G9" s="282"/>
      <c r="H9" s="285"/>
      <c r="I9" s="288"/>
      <c r="J9" s="288"/>
      <c r="K9" s="49" t="s">
        <v>265</v>
      </c>
      <c r="L9" s="43" t="s">
        <v>266</v>
      </c>
      <c r="M9" s="45" t="s">
        <v>267</v>
      </c>
      <c r="N9" s="45">
        <v>1</v>
      </c>
      <c r="O9" s="45">
        <f t="shared" si="0"/>
        <v>1</v>
      </c>
      <c r="P9" s="46">
        <f t="shared" si="1"/>
        <v>1</v>
      </c>
      <c r="Q9" s="47"/>
    </row>
    <row r="10" spans="1:17" ht="14.25" customHeight="1" x14ac:dyDescent="0.2">
      <c r="A10" s="278"/>
      <c r="B10" s="279"/>
      <c r="C10" s="278"/>
      <c r="D10" s="280"/>
      <c r="E10" s="275"/>
      <c r="F10" s="279"/>
      <c r="G10" s="282"/>
      <c r="H10" s="285"/>
      <c r="I10" s="288"/>
      <c r="J10" s="288"/>
      <c r="K10" s="49" t="s">
        <v>268</v>
      </c>
      <c r="L10" s="43" t="s">
        <v>269</v>
      </c>
      <c r="M10" s="44" t="s">
        <v>270</v>
      </c>
      <c r="N10" s="45">
        <v>1</v>
      </c>
      <c r="O10" s="45">
        <f t="shared" si="0"/>
        <v>1</v>
      </c>
      <c r="P10" s="46">
        <f t="shared" si="1"/>
        <v>1</v>
      </c>
      <c r="Q10" s="47"/>
    </row>
    <row r="11" spans="1:17" ht="14.25" customHeight="1" x14ac:dyDescent="0.2">
      <c r="A11" s="278"/>
      <c r="B11" s="279"/>
      <c r="C11" s="278"/>
      <c r="D11" s="280"/>
      <c r="E11" s="275"/>
      <c r="F11" s="279"/>
      <c r="G11" s="283"/>
      <c r="H11" s="286"/>
      <c r="I11" s="289"/>
      <c r="J11" s="289"/>
      <c r="K11" s="49" t="s">
        <v>260</v>
      </c>
      <c r="L11" s="43" t="s">
        <v>271</v>
      </c>
      <c r="M11" s="44" t="s">
        <v>272</v>
      </c>
      <c r="N11" s="45">
        <v>1</v>
      </c>
      <c r="O11" s="45">
        <f t="shared" si="0"/>
        <v>1</v>
      </c>
      <c r="P11" s="46">
        <f t="shared" si="1"/>
        <v>1</v>
      </c>
      <c r="Q11" s="47"/>
    </row>
    <row r="12" spans="1:17" ht="27" customHeight="1" x14ac:dyDescent="0.35">
      <c r="A12" s="278"/>
      <c r="B12" s="279"/>
      <c r="C12" s="278"/>
      <c r="D12" s="280"/>
      <c r="E12" s="275"/>
      <c r="F12" s="279"/>
      <c r="G12" s="281" t="s">
        <v>265</v>
      </c>
      <c r="H12" s="290" t="s">
        <v>273</v>
      </c>
      <c r="I12" s="292">
        <v>1</v>
      </c>
      <c r="J12" s="292">
        <f>I12*F8</f>
        <v>1</v>
      </c>
      <c r="K12" s="49" t="s">
        <v>260</v>
      </c>
      <c r="L12" s="43" t="s">
        <v>274</v>
      </c>
      <c r="M12" s="45" t="s">
        <v>275</v>
      </c>
      <c r="N12" s="46">
        <v>4</v>
      </c>
      <c r="O12" s="46">
        <f t="shared" si="0"/>
        <v>4</v>
      </c>
      <c r="P12" s="46">
        <f t="shared" si="1"/>
        <v>4</v>
      </c>
      <c r="Q12" s="48"/>
    </row>
    <row r="13" spans="1:17" ht="14.25" customHeight="1" x14ac:dyDescent="0.35">
      <c r="A13" s="278"/>
      <c r="B13" s="279"/>
      <c r="C13" s="278"/>
      <c r="D13" s="280"/>
      <c r="E13" s="275"/>
      <c r="F13" s="279"/>
      <c r="G13" s="283"/>
      <c r="H13" s="291"/>
      <c r="I13" s="293"/>
      <c r="J13" s="293"/>
      <c r="K13" s="49" t="s">
        <v>265</v>
      </c>
      <c r="L13" s="43" t="s">
        <v>84</v>
      </c>
      <c r="M13" s="45" t="s">
        <v>276</v>
      </c>
      <c r="N13" s="46">
        <v>4</v>
      </c>
      <c r="O13" s="46">
        <f t="shared" si="0"/>
        <v>4</v>
      </c>
      <c r="P13" s="46">
        <f t="shared" si="1"/>
        <v>4</v>
      </c>
      <c r="Q13" s="48"/>
    </row>
    <row r="14" spans="1:17" x14ac:dyDescent="0.2">
      <c r="I14" s="5"/>
      <c r="J14" s="5"/>
    </row>
    <row r="36" spans="1:17" ht="5.25" customHeight="1" x14ac:dyDescent="0.2"/>
    <row r="37" spans="1:17" ht="19.5" x14ac:dyDescent="0.2">
      <c r="A37" s="276" t="s">
        <v>0</v>
      </c>
      <c r="B37" s="277"/>
      <c r="C37" s="11"/>
      <c r="D37" s="12"/>
      <c r="E37" s="12" t="s">
        <v>14</v>
      </c>
      <c r="F37" s="13"/>
      <c r="G37" s="12"/>
      <c r="H37" s="12" t="s">
        <v>13</v>
      </c>
      <c r="I37" s="12"/>
      <c r="J37" s="13"/>
      <c r="K37" s="11"/>
      <c r="L37" s="12"/>
      <c r="M37" s="6" t="s">
        <v>1</v>
      </c>
      <c r="N37" s="12"/>
      <c r="O37" s="12"/>
      <c r="P37" s="12"/>
      <c r="Q37" s="17" t="s">
        <v>15</v>
      </c>
    </row>
    <row r="38" spans="1:17" ht="45" x14ac:dyDescent="0.2">
      <c r="A38" s="20" t="s">
        <v>2</v>
      </c>
      <c r="B38" s="3" t="s">
        <v>3</v>
      </c>
      <c r="C38" s="14" t="s">
        <v>4</v>
      </c>
      <c r="D38" s="15" t="s">
        <v>5</v>
      </c>
      <c r="E38" s="14" t="s">
        <v>6</v>
      </c>
      <c r="F38" s="14" t="s">
        <v>3</v>
      </c>
      <c r="G38" s="3" t="s">
        <v>10</v>
      </c>
      <c r="H38" s="3" t="s">
        <v>5</v>
      </c>
      <c r="I38" s="3" t="s">
        <v>12</v>
      </c>
      <c r="J38" s="3" t="s">
        <v>11</v>
      </c>
      <c r="K38" s="32" t="s">
        <v>7</v>
      </c>
      <c r="L38" s="2" t="s">
        <v>5</v>
      </c>
      <c r="M38" s="31" t="s">
        <v>9</v>
      </c>
      <c r="N38" s="30" t="s">
        <v>8</v>
      </c>
      <c r="O38" s="30" t="s">
        <v>6</v>
      </c>
      <c r="P38" s="30" t="s">
        <v>3</v>
      </c>
      <c r="Q38" s="2" t="s">
        <v>16</v>
      </c>
    </row>
    <row r="39" spans="1:17" ht="13.5" customHeight="1" x14ac:dyDescent="0.2">
      <c r="A39" s="278" t="s">
        <v>259</v>
      </c>
      <c r="B39" s="296" t="s">
        <v>19</v>
      </c>
      <c r="C39" s="278" t="s">
        <v>265</v>
      </c>
      <c r="D39" s="297" t="s">
        <v>277</v>
      </c>
      <c r="E39" s="298">
        <v>1</v>
      </c>
      <c r="F39" s="279" t="s">
        <v>19</v>
      </c>
      <c r="G39" s="295" t="s">
        <v>260</v>
      </c>
      <c r="H39" s="295" t="s">
        <v>278</v>
      </c>
      <c r="I39" s="300">
        <v>1</v>
      </c>
      <c r="J39" s="279" t="s">
        <v>19</v>
      </c>
      <c r="K39" s="49" t="s">
        <v>19</v>
      </c>
      <c r="L39" s="47" t="s">
        <v>279</v>
      </c>
      <c r="M39" s="52" t="s">
        <v>280</v>
      </c>
      <c r="N39" s="53">
        <v>8</v>
      </c>
      <c r="O39" s="7"/>
      <c r="P39" s="7">
        <v>12</v>
      </c>
      <c r="Q39" s="54"/>
    </row>
    <row r="40" spans="1:17" ht="13.5" customHeight="1" x14ac:dyDescent="0.2">
      <c r="A40" s="278"/>
      <c r="B40" s="296"/>
      <c r="C40" s="278"/>
      <c r="D40" s="297"/>
      <c r="E40" s="298"/>
      <c r="F40" s="279"/>
      <c r="G40" s="295"/>
      <c r="H40" s="295"/>
      <c r="I40" s="300"/>
      <c r="J40" s="279"/>
      <c r="K40" s="49" t="s">
        <v>21</v>
      </c>
      <c r="L40" s="47" t="s">
        <v>281</v>
      </c>
      <c r="M40" s="52" t="s">
        <v>282</v>
      </c>
      <c r="N40" s="53">
        <v>8</v>
      </c>
      <c r="O40" s="7"/>
      <c r="P40" s="7">
        <v>12</v>
      </c>
      <c r="Q40" s="54"/>
    </row>
    <row r="41" spans="1:17" ht="13.5" customHeight="1" x14ac:dyDescent="0.2">
      <c r="A41" s="278"/>
      <c r="B41" s="296"/>
      <c r="C41" s="278"/>
      <c r="D41" s="297"/>
      <c r="E41" s="298"/>
      <c r="F41" s="279"/>
      <c r="G41" s="295"/>
      <c r="H41" s="295"/>
      <c r="I41" s="300"/>
      <c r="J41" s="279"/>
      <c r="K41" s="49" t="s">
        <v>23</v>
      </c>
      <c r="L41" s="47" t="s">
        <v>283</v>
      </c>
      <c r="M41" s="52" t="s">
        <v>284</v>
      </c>
      <c r="N41" s="53">
        <v>4</v>
      </c>
      <c r="O41" s="7"/>
      <c r="P41" s="7">
        <v>6</v>
      </c>
      <c r="Q41" s="54"/>
    </row>
    <row r="42" spans="1:17" ht="13.5" customHeight="1" x14ac:dyDescent="0.2">
      <c r="A42" s="278"/>
      <c r="B42" s="296"/>
      <c r="C42" s="278"/>
      <c r="D42" s="297"/>
      <c r="E42" s="298"/>
      <c r="F42" s="279"/>
      <c r="G42" s="295"/>
      <c r="H42" s="295"/>
      <c r="I42" s="300"/>
      <c r="J42" s="279"/>
      <c r="K42" s="49" t="s">
        <v>26</v>
      </c>
      <c r="L42" s="47" t="s">
        <v>285</v>
      </c>
      <c r="M42" s="52" t="s">
        <v>286</v>
      </c>
      <c r="N42" s="53">
        <v>4</v>
      </c>
      <c r="O42" s="7"/>
      <c r="P42" s="7">
        <v>6</v>
      </c>
      <c r="Q42" s="54"/>
    </row>
    <row r="43" spans="1:17" ht="13.5" customHeight="1" x14ac:dyDescent="0.2">
      <c r="A43" s="278"/>
      <c r="B43" s="296"/>
      <c r="C43" s="278"/>
      <c r="D43" s="297"/>
      <c r="E43" s="298"/>
      <c r="F43" s="279"/>
      <c r="G43" s="295"/>
      <c r="H43" s="295"/>
      <c r="I43" s="300"/>
      <c r="J43" s="279"/>
      <c r="K43" s="49" t="s">
        <v>29</v>
      </c>
      <c r="L43" s="47" t="s">
        <v>135</v>
      </c>
      <c r="M43" s="52" t="s">
        <v>287</v>
      </c>
      <c r="N43" s="53">
        <v>8</v>
      </c>
      <c r="O43" s="7"/>
      <c r="P43" s="7">
        <v>6</v>
      </c>
      <c r="Q43" s="54"/>
    </row>
    <row r="44" spans="1:17" ht="13.5" customHeight="1" x14ac:dyDescent="0.2">
      <c r="A44" s="278"/>
      <c r="B44" s="296"/>
      <c r="C44" s="278"/>
      <c r="D44" s="297"/>
      <c r="E44" s="298"/>
      <c r="F44" s="279"/>
      <c r="G44" s="295"/>
      <c r="H44" s="295"/>
      <c r="I44" s="300"/>
      <c r="J44" s="279"/>
      <c r="K44" s="49" t="s">
        <v>32</v>
      </c>
      <c r="L44" s="234" t="s">
        <v>288</v>
      </c>
      <c r="M44" s="52" t="s">
        <v>289</v>
      </c>
      <c r="N44" s="53">
        <v>2</v>
      </c>
      <c r="O44" s="7"/>
      <c r="P44" s="7">
        <v>1</v>
      </c>
      <c r="Q44" s="54"/>
    </row>
    <row r="45" spans="1:17" ht="13.5" customHeight="1" x14ac:dyDescent="0.2">
      <c r="A45" s="278"/>
      <c r="B45" s="296"/>
      <c r="C45" s="278"/>
      <c r="D45" s="297"/>
      <c r="E45" s="298"/>
      <c r="F45" s="279"/>
      <c r="G45" s="295"/>
      <c r="H45" s="295"/>
      <c r="I45" s="300"/>
      <c r="J45" s="279"/>
      <c r="K45" s="49" t="s">
        <v>35</v>
      </c>
      <c r="L45" s="47" t="s">
        <v>290</v>
      </c>
      <c r="M45" s="52" t="s">
        <v>291</v>
      </c>
      <c r="N45" s="53">
        <v>4</v>
      </c>
      <c r="O45" s="7"/>
      <c r="P45" s="7">
        <v>6</v>
      </c>
      <c r="Q45" s="54"/>
    </row>
    <row r="46" spans="1:17" ht="13.5" customHeight="1" x14ac:dyDescent="0.2">
      <c r="A46" s="278"/>
      <c r="B46" s="296"/>
      <c r="C46" s="278"/>
      <c r="D46" s="297"/>
      <c r="E46" s="298"/>
      <c r="F46" s="279"/>
      <c r="G46" s="295"/>
      <c r="H46" s="295"/>
      <c r="I46" s="300"/>
      <c r="J46" s="279"/>
      <c r="K46" s="49" t="s">
        <v>37</v>
      </c>
      <c r="L46" s="47" t="s">
        <v>292</v>
      </c>
      <c r="M46" s="52" t="s">
        <v>293</v>
      </c>
      <c r="N46" s="53">
        <v>4</v>
      </c>
      <c r="O46" s="7"/>
      <c r="P46" s="7">
        <v>6</v>
      </c>
      <c r="Q46" s="54"/>
    </row>
    <row r="47" spans="1:17" ht="13.5" customHeight="1" x14ac:dyDescent="0.2">
      <c r="A47" s="278"/>
      <c r="B47" s="296"/>
      <c r="C47" s="278"/>
      <c r="D47" s="297"/>
      <c r="E47" s="298"/>
      <c r="F47" s="279"/>
      <c r="G47" s="295"/>
      <c r="H47" s="295"/>
      <c r="I47" s="300"/>
      <c r="J47" s="279"/>
      <c r="K47" s="49" t="s">
        <v>40</v>
      </c>
      <c r="L47" s="47" t="s">
        <v>294</v>
      </c>
      <c r="M47" s="52" t="s">
        <v>295</v>
      </c>
      <c r="N47" s="53">
        <v>60</v>
      </c>
      <c r="O47" s="7"/>
      <c r="P47" s="7">
        <v>66</v>
      </c>
      <c r="Q47" s="54"/>
    </row>
    <row r="48" spans="1:17" ht="13.5" customHeight="1" x14ac:dyDescent="0.2">
      <c r="A48" s="278"/>
      <c r="B48" s="296"/>
      <c r="C48" s="278"/>
      <c r="D48" s="297"/>
      <c r="E48" s="298"/>
      <c r="F48" s="279"/>
      <c r="G48" s="295"/>
      <c r="H48" s="295"/>
      <c r="I48" s="300"/>
      <c r="J48" s="279"/>
      <c r="K48" s="49" t="s">
        <v>51</v>
      </c>
      <c r="L48" s="47" t="s">
        <v>296</v>
      </c>
      <c r="M48" s="52" t="s">
        <v>297</v>
      </c>
      <c r="N48" s="53">
        <v>2</v>
      </c>
      <c r="O48" s="7"/>
      <c r="P48" s="7">
        <v>3</v>
      </c>
      <c r="Q48" s="54"/>
    </row>
    <row r="49" spans="1:17" ht="13.5" customHeight="1" x14ac:dyDescent="0.2">
      <c r="A49" s="278"/>
      <c r="B49" s="296"/>
      <c r="C49" s="278"/>
      <c r="D49" s="297"/>
      <c r="E49" s="298"/>
      <c r="F49" s="279"/>
      <c r="G49" s="295"/>
      <c r="H49" s="295"/>
      <c r="I49" s="300"/>
      <c r="J49" s="279"/>
      <c r="K49" s="49" t="s">
        <v>52</v>
      </c>
      <c r="L49" s="47" t="s">
        <v>298</v>
      </c>
      <c r="M49" s="52" t="s">
        <v>299</v>
      </c>
      <c r="N49" s="53">
        <v>6</v>
      </c>
      <c r="O49" s="7"/>
      <c r="P49" s="7">
        <v>9</v>
      </c>
      <c r="Q49" s="54"/>
    </row>
    <row r="50" spans="1:17" ht="13.5" customHeight="1" x14ac:dyDescent="0.2">
      <c r="A50" s="278"/>
      <c r="B50" s="296"/>
      <c r="C50" s="278"/>
      <c r="D50" s="297"/>
      <c r="E50" s="298"/>
      <c r="F50" s="279"/>
      <c r="G50" s="295"/>
      <c r="H50" s="295"/>
      <c r="I50" s="300"/>
      <c r="J50" s="279"/>
      <c r="K50" s="49" t="s">
        <v>53</v>
      </c>
      <c r="L50" s="47" t="s">
        <v>300</v>
      </c>
      <c r="M50" s="52" t="s">
        <v>301</v>
      </c>
      <c r="N50" s="53">
        <v>6</v>
      </c>
      <c r="O50" s="7"/>
      <c r="P50" s="7">
        <v>9</v>
      </c>
      <c r="Q50" s="54"/>
    </row>
    <row r="51" spans="1:17" ht="13.5" customHeight="1" x14ac:dyDescent="0.2">
      <c r="A51" s="278"/>
      <c r="B51" s="296"/>
      <c r="C51" s="278"/>
      <c r="D51" s="297"/>
      <c r="E51" s="298"/>
      <c r="F51" s="279"/>
      <c r="G51" s="295" t="s">
        <v>265</v>
      </c>
      <c r="H51" s="294" t="s">
        <v>302</v>
      </c>
      <c r="I51" s="279" t="s">
        <v>19</v>
      </c>
      <c r="J51" s="279" t="s">
        <v>19</v>
      </c>
      <c r="K51" s="49" t="s">
        <v>57</v>
      </c>
      <c r="L51" s="47" t="s">
        <v>303</v>
      </c>
      <c r="M51" s="52" t="s">
        <v>304</v>
      </c>
      <c r="N51" s="53">
        <v>1</v>
      </c>
      <c r="O51" s="7"/>
      <c r="P51" s="7">
        <v>1</v>
      </c>
      <c r="Q51" s="54"/>
    </row>
    <row r="52" spans="1:17" ht="13.5" customHeight="1" x14ac:dyDescent="0.2">
      <c r="A52" s="278"/>
      <c r="B52" s="296"/>
      <c r="C52" s="278"/>
      <c r="D52" s="297"/>
      <c r="E52" s="298"/>
      <c r="F52" s="279"/>
      <c r="G52" s="295"/>
      <c r="H52" s="294"/>
      <c r="I52" s="279"/>
      <c r="J52" s="279"/>
      <c r="K52" s="49" t="s">
        <v>58</v>
      </c>
      <c r="L52" s="47" t="s">
        <v>305</v>
      </c>
      <c r="M52" s="52" t="s">
        <v>306</v>
      </c>
      <c r="N52" s="53">
        <v>1</v>
      </c>
      <c r="O52" s="7"/>
      <c r="P52" s="7">
        <v>1</v>
      </c>
      <c r="Q52" s="54"/>
    </row>
    <row r="53" spans="1:17" ht="13.5" customHeight="1" x14ac:dyDescent="0.2">
      <c r="A53" s="278"/>
      <c r="B53" s="296"/>
      <c r="C53" s="278"/>
      <c r="D53" s="297"/>
      <c r="E53" s="298"/>
      <c r="F53" s="279"/>
      <c r="G53" s="295"/>
      <c r="H53" s="294"/>
      <c r="I53" s="279"/>
      <c r="J53" s="279"/>
      <c r="K53" s="49" t="s">
        <v>65</v>
      </c>
      <c r="L53" s="47" t="s">
        <v>307</v>
      </c>
      <c r="M53" s="52" t="s">
        <v>308</v>
      </c>
      <c r="N53" s="53">
        <v>1</v>
      </c>
      <c r="O53" s="7"/>
      <c r="P53" s="7">
        <v>1</v>
      </c>
      <c r="Q53" s="54"/>
    </row>
    <row r="54" spans="1:17" ht="13.5" customHeight="1" x14ac:dyDescent="0.2">
      <c r="A54" s="278"/>
      <c r="B54" s="296"/>
      <c r="C54" s="278"/>
      <c r="D54" s="297"/>
      <c r="E54" s="298"/>
      <c r="F54" s="279"/>
      <c r="G54" s="295"/>
      <c r="H54" s="294"/>
      <c r="I54" s="279"/>
      <c r="J54" s="279"/>
      <c r="K54" s="49" t="s">
        <v>66</v>
      </c>
      <c r="L54" s="47" t="s">
        <v>309</v>
      </c>
      <c r="M54" s="52" t="s">
        <v>299</v>
      </c>
      <c r="N54" s="53">
        <v>4</v>
      </c>
      <c r="O54" s="7"/>
      <c r="P54" s="7">
        <v>4</v>
      </c>
      <c r="Q54" s="54"/>
    </row>
    <row r="55" spans="1:17" ht="13.5" customHeight="1" x14ac:dyDescent="0.2">
      <c r="A55" s="278"/>
      <c r="B55" s="296"/>
      <c r="C55" s="278"/>
      <c r="D55" s="297"/>
      <c r="E55" s="298"/>
      <c r="F55" s="279"/>
      <c r="G55" s="295"/>
      <c r="H55" s="294"/>
      <c r="I55" s="279"/>
      <c r="J55" s="279"/>
      <c r="K55" s="49" t="s">
        <v>67</v>
      </c>
      <c r="L55" s="47" t="s">
        <v>310</v>
      </c>
      <c r="M55" s="52" t="s">
        <v>301</v>
      </c>
      <c r="N55" s="53">
        <v>4</v>
      </c>
      <c r="O55" s="53"/>
      <c r="P55" s="55">
        <v>4</v>
      </c>
      <c r="Q55" s="54"/>
    </row>
    <row r="56" spans="1:17" ht="13.5" customHeight="1" x14ac:dyDescent="0.2">
      <c r="A56" s="278"/>
      <c r="B56" s="296"/>
      <c r="C56" s="278"/>
      <c r="D56" s="297"/>
      <c r="E56" s="298"/>
      <c r="F56" s="279"/>
      <c r="G56" s="295" t="s">
        <v>268</v>
      </c>
      <c r="H56" s="294" t="s">
        <v>311</v>
      </c>
      <c r="I56" s="279" t="s">
        <v>19</v>
      </c>
      <c r="J56" s="279" t="s">
        <v>19</v>
      </c>
      <c r="K56" s="49" t="s">
        <v>69</v>
      </c>
      <c r="L56" s="47" t="s">
        <v>312</v>
      </c>
      <c r="M56" s="54" t="s">
        <v>313</v>
      </c>
      <c r="N56" s="53">
        <v>18</v>
      </c>
      <c r="O56" s="53"/>
      <c r="P56" s="55">
        <v>24</v>
      </c>
      <c r="Q56" s="54"/>
    </row>
    <row r="57" spans="1:17" ht="13.5" customHeight="1" x14ac:dyDescent="0.2">
      <c r="A57" s="278"/>
      <c r="B57" s="296"/>
      <c r="C57" s="278"/>
      <c r="D57" s="297"/>
      <c r="E57" s="298"/>
      <c r="F57" s="279"/>
      <c r="G57" s="295"/>
      <c r="H57" s="294"/>
      <c r="I57" s="279"/>
      <c r="J57" s="279"/>
      <c r="K57" s="49" t="s">
        <v>70</v>
      </c>
      <c r="L57" s="47" t="s">
        <v>314</v>
      </c>
      <c r="M57" s="54" t="s">
        <v>85</v>
      </c>
      <c r="N57" s="53">
        <v>18</v>
      </c>
      <c r="O57" s="53"/>
      <c r="P57" s="55">
        <v>24</v>
      </c>
      <c r="Q57" s="54"/>
    </row>
    <row r="58" spans="1:17" ht="13.5" customHeight="1" x14ac:dyDescent="0.2">
      <c r="A58" s="278"/>
      <c r="B58" s="296"/>
      <c r="C58" s="278"/>
      <c r="D58" s="297"/>
      <c r="E58" s="298"/>
      <c r="F58" s="279"/>
      <c r="G58" s="295"/>
      <c r="H58" s="294"/>
      <c r="I58" s="279"/>
      <c r="J58" s="279"/>
      <c r="K58" s="49" t="s">
        <v>77</v>
      </c>
      <c r="L58" s="47" t="s">
        <v>315</v>
      </c>
      <c r="M58" s="54" t="s">
        <v>316</v>
      </c>
      <c r="N58" s="8">
        <v>4</v>
      </c>
      <c r="O58" s="53"/>
      <c r="P58" s="55">
        <v>2</v>
      </c>
      <c r="Q58" s="56"/>
    </row>
    <row r="59" spans="1:17" s="57" customFormat="1" ht="15.75" x14ac:dyDescent="0.2">
      <c r="I59" s="5"/>
      <c r="J59" s="5"/>
      <c r="K59" s="58"/>
      <c r="L59" s="59"/>
      <c r="M59" s="60"/>
      <c r="N59" s="60"/>
      <c r="O59" s="61"/>
      <c r="P59" s="62"/>
    </row>
    <row r="60" spans="1:17" s="57" customFormat="1" ht="15.75" x14ac:dyDescent="0.2">
      <c r="K60" s="58"/>
      <c r="L60" s="59"/>
      <c r="M60" s="60"/>
      <c r="N60" s="60"/>
      <c r="O60" s="61"/>
      <c r="P60" s="62"/>
    </row>
    <row r="61" spans="1:17" s="57" customFormat="1" ht="15.75" x14ac:dyDescent="0.2">
      <c r="K61" s="58"/>
      <c r="L61" s="59"/>
      <c r="M61" s="60"/>
      <c r="N61" s="60"/>
      <c r="O61" s="61"/>
      <c r="P61" s="62"/>
    </row>
    <row r="62" spans="1:17" s="57" customFormat="1" ht="15.75" x14ac:dyDescent="0.2">
      <c r="K62" s="58"/>
      <c r="L62" s="59"/>
      <c r="M62" s="60"/>
      <c r="N62" s="60"/>
      <c r="O62" s="61"/>
      <c r="P62" s="61"/>
    </row>
    <row r="68" spans="1:17" ht="5.25" customHeight="1" x14ac:dyDescent="0.2"/>
    <row r="69" spans="1:17" ht="19.5" x14ac:dyDescent="0.2">
      <c r="A69" s="276" t="s">
        <v>0</v>
      </c>
      <c r="B69" s="277"/>
      <c r="C69" s="11"/>
      <c r="D69" s="12"/>
      <c r="E69" s="12" t="s">
        <v>14</v>
      </c>
      <c r="F69" s="13"/>
      <c r="G69" s="12"/>
      <c r="H69" s="12" t="s">
        <v>13</v>
      </c>
      <c r="I69" s="12"/>
      <c r="J69" s="13"/>
      <c r="K69" s="11"/>
      <c r="L69" s="12"/>
      <c r="M69" s="6" t="s">
        <v>1</v>
      </c>
      <c r="N69" s="12"/>
      <c r="O69" s="12"/>
      <c r="P69" s="12"/>
      <c r="Q69" s="17" t="s">
        <v>15</v>
      </c>
    </row>
    <row r="70" spans="1:17" ht="45" x14ac:dyDescent="0.2">
      <c r="A70" s="20" t="s">
        <v>2</v>
      </c>
      <c r="B70" s="3" t="s">
        <v>3</v>
      </c>
      <c r="C70" s="14" t="s">
        <v>4</v>
      </c>
      <c r="D70" s="15" t="s">
        <v>5</v>
      </c>
      <c r="E70" s="14" t="s">
        <v>6</v>
      </c>
      <c r="F70" s="14" t="s">
        <v>3</v>
      </c>
      <c r="G70" s="3" t="s">
        <v>10</v>
      </c>
      <c r="H70" s="3" t="s">
        <v>5</v>
      </c>
      <c r="I70" s="3" t="s">
        <v>12</v>
      </c>
      <c r="J70" s="3" t="s">
        <v>11</v>
      </c>
      <c r="K70" s="1" t="s">
        <v>7</v>
      </c>
      <c r="L70" s="2" t="s">
        <v>5</v>
      </c>
      <c r="M70" s="2" t="s">
        <v>9</v>
      </c>
      <c r="N70" s="3" t="s">
        <v>8</v>
      </c>
      <c r="O70" s="3" t="s">
        <v>6</v>
      </c>
      <c r="P70" s="16" t="s">
        <v>3</v>
      </c>
      <c r="Q70" s="2" t="s">
        <v>16</v>
      </c>
    </row>
    <row r="71" spans="1:17" ht="13.5" customHeight="1" x14ac:dyDescent="0.2">
      <c r="A71" s="281" t="s">
        <v>259</v>
      </c>
      <c r="B71" s="292" t="s">
        <v>19</v>
      </c>
      <c r="C71" s="281" t="s">
        <v>268</v>
      </c>
      <c r="D71" s="281" t="s">
        <v>317</v>
      </c>
      <c r="E71" s="292" t="s">
        <v>19</v>
      </c>
      <c r="F71" s="292" t="s">
        <v>19</v>
      </c>
      <c r="G71" s="301" t="s">
        <v>260</v>
      </c>
      <c r="H71" s="301" t="s">
        <v>318</v>
      </c>
      <c r="I71" s="302">
        <v>1</v>
      </c>
      <c r="J71" s="303" t="s">
        <v>19</v>
      </c>
      <c r="K71" s="49" t="s">
        <v>19</v>
      </c>
      <c r="L71" s="53" t="s">
        <v>319</v>
      </c>
      <c r="M71" s="53" t="s">
        <v>320</v>
      </c>
      <c r="N71" s="53">
        <v>1</v>
      </c>
      <c r="O71" s="53"/>
      <c r="P71" s="55">
        <v>1</v>
      </c>
      <c r="Q71" s="54"/>
    </row>
    <row r="72" spans="1:17" ht="13.5" customHeight="1" x14ac:dyDescent="0.2">
      <c r="A72" s="282"/>
      <c r="B72" s="299"/>
      <c r="C72" s="282"/>
      <c r="D72" s="282"/>
      <c r="E72" s="299"/>
      <c r="F72" s="299"/>
      <c r="G72" s="301"/>
      <c r="H72" s="301"/>
      <c r="I72" s="302"/>
      <c r="J72" s="303"/>
      <c r="K72" s="49" t="s">
        <v>21</v>
      </c>
      <c r="L72" s="53" t="s">
        <v>321</v>
      </c>
      <c r="M72" s="53" t="s">
        <v>322</v>
      </c>
      <c r="N72" s="53">
        <v>2</v>
      </c>
      <c r="O72" s="53"/>
      <c r="P72" s="55">
        <v>2</v>
      </c>
      <c r="Q72" s="54"/>
    </row>
    <row r="73" spans="1:17" ht="13.5" customHeight="1" x14ac:dyDescent="0.2">
      <c r="A73" s="282"/>
      <c r="B73" s="299"/>
      <c r="C73" s="282"/>
      <c r="D73" s="282"/>
      <c r="E73" s="299"/>
      <c r="F73" s="299"/>
      <c r="G73" s="301"/>
      <c r="H73" s="301"/>
      <c r="I73" s="302"/>
      <c r="J73" s="303"/>
      <c r="K73" s="49" t="s">
        <v>23</v>
      </c>
      <c r="L73" s="53" t="s">
        <v>323</v>
      </c>
      <c r="M73" s="53" t="s">
        <v>324</v>
      </c>
      <c r="N73" s="53">
        <v>1</v>
      </c>
      <c r="O73" s="53"/>
      <c r="P73" s="55">
        <v>1</v>
      </c>
      <c r="Q73" s="54"/>
    </row>
    <row r="74" spans="1:17" ht="13.5" customHeight="1" x14ac:dyDescent="0.2">
      <c r="A74" s="282"/>
      <c r="B74" s="299"/>
      <c r="C74" s="282"/>
      <c r="D74" s="282"/>
      <c r="E74" s="299"/>
      <c r="F74" s="299"/>
      <c r="G74" s="301"/>
      <c r="H74" s="301"/>
      <c r="I74" s="302"/>
      <c r="J74" s="303"/>
      <c r="K74" s="49" t="s">
        <v>26</v>
      </c>
      <c r="L74" s="53" t="s">
        <v>325</v>
      </c>
      <c r="M74" s="53" t="s">
        <v>326</v>
      </c>
      <c r="N74" s="53">
        <v>2</v>
      </c>
      <c r="O74" s="53"/>
      <c r="P74" s="55">
        <v>2</v>
      </c>
      <c r="Q74" s="54"/>
    </row>
    <row r="75" spans="1:17" ht="13.5" customHeight="1" x14ac:dyDescent="0.2">
      <c r="A75" s="282"/>
      <c r="B75" s="299"/>
      <c r="C75" s="282"/>
      <c r="D75" s="282"/>
      <c r="E75" s="299"/>
      <c r="F75" s="299"/>
      <c r="G75" s="301"/>
      <c r="H75" s="301"/>
      <c r="I75" s="302"/>
      <c r="J75" s="303"/>
      <c r="K75" s="49" t="s">
        <v>29</v>
      </c>
      <c r="L75" s="53" t="s">
        <v>327</v>
      </c>
      <c r="M75" s="63" t="s">
        <v>328</v>
      </c>
      <c r="N75" s="53">
        <v>4</v>
      </c>
      <c r="O75" s="53"/>
      <c r="P75" s="55">
        <v>4</v>
      </c>
      <c r="Q75" s="54"/>
    </row>
    <row r="76" spans="1:17" ht="13.5" customHeight="1" x14ac:dyDescent="0.2">
      <c r="A76" s="282"/>
      <c r="B76" s="299"/>
      <c r="C76" s="282"/>
      <c r="D76" s="282"/>
      <c r="E76" s="299"/>
      <c r="F76" s="299"/>
      <c r="G76" s="301"/>
      <c r="H76" s="301"/>
      <c r="I76" s="302"/>
      <c r="J76" s="303"/>
      <c r="K76" s="49" t="s">
        <v>32</v>
      </c>
      <c r="L76" s="53" t="s">
        <v>329</v>
      </c>
      <c r="M76" s="52" t="s">
        <v>330</v>
      </c>
      <c r="N76" s="53">
        <v>4</v>
      </c>
      <c r="O76" s="53"/>
      <c r="P76" s="55">
        <v>4</v>
      </c>
      <c r="Q76" s="54"/>
    </row>
    <row r="77" spans="1:17" ht="13.5" customHeight="1" x14ac:dyDescent="0.2">
      <c r="A77" s="282"/>
      <c r="B77" s="299"/>
      <c r="C77" s="282"/>
      <c r="D77" s="282"/>
      <c r="E77" s="299"/>
      <c r="F77" s="299"/>
      <c r="G77" s="301"/>
      <c r="H77" s="301"/>
      <c r="I77" s="302"/>
      <c r="J77" s="303"/>
      <c r="K77" s="49" t="s">
        <v>35</v>
      </c>
      <c r="L77" s="53" t="s">
        <v>331</v>
      </c>
      <c r="M77" s="64" t="s">
        <v>332</v>
      </c>
      <c r="N77" s="53">
        <v>4</v>
      </c>
      <c r="O77" s="53"/>
      <c r="P77" s="55">
        <v>4</v>
      </c>
      <c r="Q77" s="54"/>
    </row>
    <row r="78" spans="1:17" ht="13.5" customHeight="1" x14ac:dyDescent="0.2">
      <c r="A78" s="282"/>
      <c r="B78" s="299"/>
      <c r="C78" s="282"/>
      <c r="D78" s="282"/>
      <c r="E78" s="299"/>
      <c r="F78" s="299"/>
      <c r="G78" s="301"/>
      <c r="H78" s="301"/>
      <c r="I78" s="302"/>
      <c r="J78" s="303"/>
      <c r="K78" s="49" t="s">
        <v>37</v>
      </c>
      <c r="L78" s="53" t="s">
        <v>333</v>
      </c>
      <c r="M78" s="64" t="s">
        <v>334</v>
      </c>
      <c r="N78" s="53">
        <v>12</v>
      </c>
      <c r="O78" s="53"/>
      <c r="P78" s="55">
        <v>8</v>
      </c>
      <c r="Q78" s="54"/>
    </row>
    <row r="79" spans="1:17" ht="13.5" customHeight="1" x14ac:dyDescent="0.2">
      <c r="A79" s="282"/>
      <c r="B79" s="299"/>
      <c r="C79" s="282"/>
      <c r="D79" s="282"/>
      <c r="E79" s="299"/>
      <c r="F79" s="299"/>
      <c r="G79" s="301"/>
      <c r="H79" s="301"/>
      <c r="I79" s="302"/>
      <c r="J79" s="303"/>
      <c r="K79" s="49" t="s">
        <v>40</v>
      </c>
      <c r="L79" s="53" t="s">
        <v>335</v>
      </c>
      <c r="M79" s="64" t="s">
        <v>75</v>
      </c>
      <c r="N79" s="53">
        <v>12</v>
      </c>
      <c r="O79" s="53"/>
      <c r="P79" s="55">
        <v>8</v>
      </c>
      <c r="Q79" s="54"/>
    </row>
    <row r="80" spans="1:17" ht="13.5" customHeight="1" x14ac:dyDescent="0.2">
      <c r="A80" s="282"/>
      <c r="B80" s="299"/>
      <c r="C80" s="282"/>
      <c r="D80" s="282"/>
      <c r="E80" s="299"/>
      <c r="F80" s="299"/>
      <c r="G80" s="301"/>
      <c r="H80" s="301"/>
      <c r="I80" s="302"/>
      <c r="J80" s="303"/>
      <c r="K80" s="49" t="s">
        <v>51</v>
      </c>
      <c r="L80" s="53" t="s">
        <v>336</v>
      </c>
      <c r="M80" s="64" t="s">
        <v>337</v>
      </c>
      <c r="N80" s="53">
        <v>20</v>
      </c>
      <c r="O80" s="53"/>
      <c r="P80" s="55">
        <v>8</v>
      </c>
      <c r="Q80" s="54"/>
    </row>
    <row r="81" spans="1:17" ht="13.5" customHeight="1" x14ac:dyDescent="0.2">
      <c r="A81" s="282"/>
      <c r="B81" s="299"/>
      <c r="C81" s="282"/>
      <c r="D81" s="282"/>
      <c r="E81" s="299"/>
      <c r="F81" s="299"/>
      <c r="G81" s="278" t="s">
        <v>265</v>
      </c>
      <c r="H81" s="278" t="s">
        <v>338</v>
      </c>
      <c r="I81" s="296" t="s">
        <v>19</v>
      </c>
      <c r="J81" s="296" t="s">
        <v>19</v>
      </c>
      <c r="K81" s="49" t="s">
        <v>52</v>
      </c>
      <c r="L81" s="53" t="s">
        <v>339</v>
      </c>
      <c r="M81" s="64" t="s">
        <v>324</v>
      </c>
      <c r="N81" s="53">
        <v>1</v>
      </c>
      <c r="O81" s="53"/>
      <c r="P81" s="55">
        <v>1</v>
      </c>
      <c r="Q81" s="54"/>
    </row>
    <row r="82" spans="1:17" ht="13.5" customHeight="1" x14ac:dyDescent="0.2">
      <c r="A82" s="282"/>
      <c r="B82" s="299"/>
      <c r="C82" s="282"/>
      <c r="D82" s="282"/>
      <c r="E82" s="299"/>
      <c r="F82" s="299"/>
      <c r="G82" s="278"/>
      <c r="H82" s="278"/>
      <c r="I82" s="296"/>
      <c r="J82" s="296"/>
      <c r="K82" s="49" t="s">
        <v>53</v>
      </c>
      <c r="L82" s="53" t="s">
        <v>340</v>
      </c>
      <c r="M82" s="64" t="s">
        <v>324</v>
      </c>
      <c r="N82" s="53">
        <v>1</v>
      </c>
      <c r="O82" s="53"/>
      <c r="P82" s="53">
        <v>1</v>
      </c>
      <c r="Q82" s="54"/>
    </row>
    <row r="83" spans="1:17" ht="13.5" customHeight="1" x14ac:dyDescent="0.2">
      <c r="A83" s="282"/>
      <c r="B83" s="299"/>
      <c r="C83" s="282"/>
      <c r="D83" s="282"/>
      <c r="E83" s="299"/>
      <c r="F83" s="299"/>
      <c r="G83" s="278"/>
      <c r="H83" s="278"/>
      <c r="I83" s="296"/>
      <c r="J83" s="296"/>
      <c r="K83" s="49" t="s">
        <v>57</v>
      </c>
      <c r="L83" s="53" t="s">
        <v>341</v>
      </c>
      <c r="M83" s="63" t="s">
        <v>328</v>
      </c>
      <c r="N83" s="53">
        <v>4</v>
      </c>
      <c r="O83" s="53"/>
      <c r="P83" s="53">
        <v>4</v>
      </c>
      <c r="Q83" s="54"/>
    </row>
    <row r="84" spans="1:17" ht="13.5" customHeight="1" x14ac:dyDescent="0.2">
      <c r="A84" s="282"/>
      <c r="B84" s="299"/>
      <c r="C84" s="282"/>
      <c r="D84" s="282"/>
      <c r="E84" s="299"/>
      <c r="F84" s="299"/>
      <c r="G84" s="278"/>
      <c r="H84" s="278"/>
      <c r="I84" s="296"/>
      <c r="J84" s="296"/>
      <c r="K84" s="49" t="s">
        <v>58</v>
      </c>
      <c r="L84" s="53" t="s">
        <v>342</v>
      </c>
      <c r="M84" s="52" t="s">
        <v>330</v>
      </c>
      <c r="N84" s="53">
        <v>4</v>
      </c>
      <c r="O84" s="53"/>
      <c r="P84" s="53">
        <v>4</v>
      </c>
      <c r="Q84" s="54"/>
    </row>
    <row r="85" spans="1:17" ht="13.5" customHeight="1" x14ac:dyDescent="0.2">
      <c r="A85" s="282"/>
      <c r="B85" s="299"/>
      <c r="C85" s="282"/>
      <c r="D85" s="282"/>
      <c r="E85" s="299"/>
      <c r="F85" s="299"/>
      <c r="G85" s="278"/>
      <c r="H85" s="278"/>
      <c r="I85" s="296"/>
      <c r="J85" s="296"/>
      <c r="K85" s="49" t="s">
        <v>65</v>
      </c>
      <c r="L85" s="53" t="s">
        <v>331</v>
      </c>
      <c r="M85" s="64" t="s">
        <v>332</v>
      </c>
      <c r="N85" s="53">
        <v>4</v>
      </c>
      <c r="O85" s="53"/>
      <c r="P85" s="53">
        <v>4</v>
      </c>
      <c r="Q85" s="54"/>
    </row>
    <row r="86" spans="1:17" ht="13.5" customHeight="1" x14ac:dyDescent="0.2">
      <c r="A86" s="282"/>
      <c r="B86" s="299"/>
      <c r="C86" s="282"/>
      <c r="D86" s="282"/>
      <c r="E86" s="299"/>
      <c r="F86" s="299"/>
      <c r="G86" s="278"/>
      <c r="H86" s="278"/>
      <c r="I86" s="296"/>
      <c r="J86" s="296"/>
      <c r="K86" s="49" t="s">
        <v>66</v>
      </c>
      <c r="L86" s="53" t="s">
        <v>333</v>
      </c>
      <c r="M86" s="64" t="s">
        <v>334</v>
      </c>
      <c r="N86" s="53">
        <v>8</v>
      </c>
      <c r="O86" s="53"/>
      <c r="P86" s="55">
        <v>8</v>
      </c>
      <c r="Q86" s="54"/>
    </row>
    <row r="87" spans="1:17" ht="13.5" customHeight="1" x14ac:dyDescent="0.2">
      <c r="A87" s="282"/>
      <c r="B87" s="299"/>
      <c r="C87" s="282"/>
      <c r="D87" s="282"/>
      <c r="E87" s="299"/>
      <c r="F87" s="299"/>
      <c r="G87" s="278"/>
      <c r="H87" s="278"/>
      <c r="I87" s="296"/>
      <c r="J87" s="296"/>
      <c r="K87" s="49" t="s">
        <v>67</v>
      </c>
      <c r="L87" s="53" t="s">
        <v>335</v>
      </c>
      <c r="M87" s="64" t="s">
        <v>75</v>
      </c>
      <c r="N87" s="53">
        <v>8</v>
      </c>
      <c r="O87" s="53"/>
      <c r="P87" s="55">
        <v>8</v>
      </c>
      <c r="Q87" s="56"/>
    </row>
    <row r="88" spans="1:17" ht="13.5" customHeight="1" x14ac:dyDescent="0.2">
      <c r="A88" s="283"/>
      <c r="B88" s="293"/>
      <c r="C88" s="283"/>
      <c r="D88" s="283"/>
      <c r="E88" s="293"/>
      <c r="F88" s="293"/>
      <c r="G88" s="278"/>
      <c r="H88" s="278"/>
      <c r="I88" s="296"/>
      <c r="J88" s="296"/>
      <c r="K88" s="49" t="s">
        <v>68</v>
      </c>
      <c r="L88" s="53" t="s">
        <v>336</v>
      </c>
      <c r="M88" s="64" t="s">
        <v>337</v>
      </c>
      <c r="N88" s="53">
        <v>16</v>
      </c>
      <c r="O88" s="53"/>
      <c r="P88" s="55">
        <v>8</v>
      </c>
      <c r="Q88" s="56"/>
    </row>
    <row r="100" spans="1:17" ht="19.5" x14ac:dyDescent="0.2">
      <c r="A100" s="276" t="s">
        <v>0</v>
      </c>
      <c r="B100" s="277"/>
      <c r="C100" s="11"/>
      <c r="D100" s="12"/>
      <c r="E100" s="12" t="s">
        <v>14</v>
      </c>
      <c r="F100" s="13"/>
      <c r="G100" s="12"/>
      <c r="H100" s="12" t="s">
        <v>13</v>
      </c>
      <c r="I100" s="12"/>
      <c r="J100" s="13"/>
      <c r="K100" s="11"/>
      <c r="L100" s="12"/>
      <c r="M100" s="6" t="s">
        <v>1</v>
      </c>
      <c r="N100" s="12"/>
      <c r="O100" s="12"/>
      <c r="P100" s="12"/>
      <c r="Q100" s="17" t="s">
        <v>15</v>
      </c>
    </row>
    <row r="101" spans="1:17" ht="45" x14ac:dyDescent="0.2">
      <c r="A101" s="20" t="s">
        <v>2</v>
      </c>
      <c r="B101" s="3" t="s">
        <v>3</v>
      </c>
      <c r="C101" s="14" t="s">
        <v>4</v>
      </c>
      <c r="D101" s="15" t="s">
        <v>5</v>
      </c>
      <c r="E101" s="14" t="s">
        <v>6</v>
      </c>
      <c r="F101" s="14" t="s">
        <v>3</v>
      </c>
      <c r="G101" s="3" t="s">
        <v>10</v>
      </c>
      <c r="H101" s="3" t="s">
        <v>5</v>
      </c>
      <c r="I101" s="3" t="s">
        <v>12</v>
      </c>
      <c r="J101" s="3" t="s">
        <v>11</v>
      </c>
      <c r="K101" s="1" t="s">
        <v>7</v>
      </c>
      <c r="L101" s="2" t="s">
        <v>5</v>
      </c>
      <c r="M101" s="2" t="s">
        <v>9</v>
      </c>
      <c r="N101" s="3" t="s">
        <v>8</v>
      </c>
      <c r="O101" s="3" t="s">
        <v>6</v>
      </c>
      <c r="P101" s="16" t="s">
        <v>3</v>
      </c>
      <c r="Q101" s="2" t="s">
        <v>16</v>
      </c>
    </row>
    <row r="102" spans="1:17" ht="15.75" x14ac:dyDescent="0.2">
      <c r="A102" s="282"/>
      <c r="B102" s="299"/>
      <c r="C102" s="278"/>
      <c r="D102" s="278"/>
      <c r="E102" s="296"/>
      <c r="F102" s="296"/>
      <c r="G102" s="65" t="s">
        <v>44</v>
      </c>
      <c r="H102" s="65" t="s">
        <v>44</v>
      </c>
      <c r="I102" s="66" t="s">
        <v>44</v>
      </c>
      <c r="J102" s="66" t="s">
        <v>44</v>
      </c>
      <c r="K102" s="49" t="s">
        <v>69</v>
      </c>
      <c r="L102" s="53" t="s">
        <v>343</v>
      </c>
      <c r="M102" s="64" t="s">
        <v>344</v>
      </c>
      <c r="N102" s="53">
        <v>1</v>
      </c>
      <c r="O102" s="53"/>
      <c r="P102" s="55">
        <v>2</v>
      </c>
      <c r="Q102" s="54"/>
    </row>
    <row r="103" spans="1:17" ht="15.75" x14ac:dyDescent="0.2">
      <c r="A103" s="282"/>
      <c r="B103" s="299"/>
      <c r="C103" s="278"/>
      <c r="D103" s="278"/>
      <c r="E103" s="296"/>
      <c r="F103" s="296"/>
      <c r="G103" s="65" t="s">
        <v>44</v>
      </c>
      <c r="H103" s="65" t="s">
        <v>44</v>
      </c>
      <c r="I103" s="66" t="s">
        <v>44</v>
      </c>
      <c r="J103" s="66" t="s">
        <v>44</v>
      </c>
      <c r="K103" s="49" t="s">
        <v>70</v>
      </c>
      <c r="L103" s="53" t="s">
        <v>345</v>
      </c>
      <c r="M103" s="64" t="s">
        <v>299</v>
      </c>
      <c r="N103" s="53">
        <v>4</v>
      </c>
      <c r="O103" s="53"/>
      <c r="P103" s="55">
        <v>4</v>
      </c>
      <c r="Q103" s="54"/>
    </row>
    <row r="104" spans="1:17" ht="16.5" thickBot="1" x14ac:dyDescent="0.25">
      <c r="A104" s="282"/>
      <c r="B104" s="299"/>
      <c r="C104" s="304"/>
      <c r="D104" s="304"/>
      <c r="E104" s="305"/>
      <c r="F104" s="305"/>
      <c r="G104" s="67" t="s">
        <v>44</v>
      </c>
      <c r="H104" s="67" t="s">
        <v>44</v>
      </c>
      <c r="I104" s="68" t="s">
        <v>44</v>
      </c>
      <c r="J104" s="68" t="s">
        <v>44</v>
      </c>
      <c r="K104" s="69" t="s">
        <v>77</v>
      </c>
      <c r="L104" s="71" t="s">
        <v>346</v>
      </c>
      <c r="M104" s="70" t="s">
        <v>347</v>
      </c>
      <c r="N104" s="71">
        <v>4</v>
      </c>
      <c r="O104" s="71"/>
      <c r="P104" s="72">
        <v>4</v>
      </c>
      <c r="Q104" s="73"/>
    </row>
    <row r="105" spans="1:17" ht="15.75" x14ac:dyDescent="0.2">
      <c r="A105" s="282"/>
      <c r="B105" s="299"/>
      <c r="C105" s="282" t="s">
        <v>348</v>
      </c>
      <c r="D105" s="282" t="s">
        <v>349</v>
      </c>
      <c r="E105" s="299" t="s">
        <v>19</v>
      </c>
      <c r="F105" s="299" t="s">
        <v>19</v>
      </c>
      <c r="G105" s="306" t="s">
        <v>260</v>
      </c>
      <c r="H105" s="306" t="s">
        <v>350</v>
      </c>
      <c r="I105" s="288" t="s">
        <v>19</v>
      </c>
      <c r="J105" s="288" t="s">
        <v>19</v>
      </c>
      <c r="K105" s="145" t="s">
        <v>53</v>
      </c>
      <c r="L105" s="74" t="s">
        <v>351</v>
      </c>
      <c r="M105" s="52" t="s">
        <v>352</v>
      </c>
      <c r="N105" s="74">
        <v>2</v>
      </c>
      <c r="O105" s="74"/>
      <c r="P105" s="74">
        <v>2</v>
      </c>
      <c r="Q105" s="75"/>
    </row>
    <row r="106" spans="1:17" ht="15.75" customHeight="1" x14ac:dyDescent="0.2">
      <c r="A106" s="282"/>
      <c r="B106" s="299"/>
      <c r="C106" s="282"/>
      <c r="D106" s="282"/>
      <c r="E106" s="299"/>
      <c r="F106" s="299"/>
      <c r="G106" s="306"/>
      <c r="H106" s="306"/>
      <c r="I106" s="288"/>
      <c r="J106" s="288"/>
      <c r="K106" s="145" t="s">
        <v>19</v>
      </c>
      <c r="L106" s="74" t="s">
        <v>353</v>
      </c>
      <c r="M106" s="52" t="s">
        <v>354</v>
      </c>
      <c r="N106" s="76">
        <v>2</v>
      </c>
      <c r="O106" s="74"/>
      <c r="P106" s="74">
        <v>2</v>
      </c>
      <c r="Q106" s="75"/>
    </row>
    <row r="107" spans="1:17" ht="15.75" x14ac:dyDescent="0.2">
      <c r="A107" s="282"/>
      <c r="B107" s="299"/>
      <c r="C107" s="282"/>
      <c r="D107" s="282"/>
      <c r="E107" s="299"/>
      <c r="F107" s="299"/>
      <c r="G107" s="306"/>
      <c r="H107" s="306"/>
      <c r="I107" s="288"/>
      <c r="J107" s="288"/>
      <c r="K107" s="49" t="s">
        <v>21</v>
      </c>
      <c r="L107" s="53" t="s">
        <v>355</v>
      </c>
      <c r="M107" s="64" t="s">
        <v>356</v>
      </c>
      <c r="N107" s="77">
        <v>2</v>
      </c>
      <c r="O107" s="53"/>
      <c r="P107" s="53">
        <v>2</v>
      </c>
      <c r="Q107" s="54"/>
    </row>
    <row r="108" spans="1:17" ht="15.75" x14ac:dyDescent="0.2">
      <c r="A108" s="282"/>
      <c r="B108" s="299"/>
      <c r="C108" s="282"/>
      <c r="D108" s="282"/>
      <c r="E108" s="299"/>
      <c r="F108" s="299"/>
      <c r="G108" s="306"/>
      <c r="H108" s="306"/>
      <c r="I108" s="288"/>
      <c r="J108" s="288"/>
      <c r="K108" s="49" t="s">
        <v>23</v>
      </c>
      <c r="L108" s="53" t="s">
        <v>357</v>
      </c>
      <c r="M108" s="64" t="s">
        <v>75</v>
      </c>
      <c r="N108" s="77">
        <v>2</v>
      </c>
      <c r="O108" s="53"/>
      <c r="P108" s="53">
        <v>2</v>
      </c>
      <c r="Q108" s="54"/>
    </row>
    <row r="109" spans="1:17" ht="15.75" x14ac:dyDescent="0.2">
      <c r="A109" s="283"/>
      <c r="B109" s="293"/>
      <c r="C109" s="283"/>
      <c r="D109" s="283"/>
      <c r="E109" s="293"/>
      <c r="F109" s="293"/>
      <c r="G109" s="307"/>
      <c r="H109" s="307"/>
      <c r="I109" s="289"/>
      <c r="J109" s="289"/>
      <c r="K109" s="49" t="s">
        <v>26</v>
      </c>
      <c r="L109" s="53" t="s">
        <v>358</v>
      </c>
      <c r="M109" s="52" t="s">
        <v>337</v>
      </c>
      <c r="N109" s="53">
        <v>4</v>
      </c>
      <c r="O109" s="53"/>
      <c r="P109" s="55">
        <v>4</v>
      </c>
      <c r="Q109" s="54"/>
    </row>
    <row r="130" spans="1:17" ht="19.5" x14ac:dyDescent="0.2">
      <c r="A130" s="276" t="s">
        <v>0</v>
      </c>
      <c r="B130" s="277"/>
      <c r="C130" s="11"/>
      <c r="D130" s="12"/>
      <c r="E130" s="12" t="s">
        <v>14</v>
      </c>
      <c r="F130" s="13"/>
      <c r="G130" s="12"/>
      <c r="H130" s="12" t="s">
        <v>13</v>
      </c>
      <c r="I130" s="12"/>
      <c r="J130" s="13"/>
      <c r="K130" s="11"/>
      <c r="L130" s="12"/>
      <c r="M130" s="6" t="s">
        <v>1</v>
      </c>
      <c r="N130" s="12"/>
      <c r="O130" s="12"/>
      <c r="P130" s="12"/>
      <c r="Q130" s="17" t="s">
        <v>15</v>
      </c>
    </row>
    <row r="131" spans="1:17" ht="45" x14ac:dyDescent="0.2">
      <c r="A131" s="20" t="s">
        <v>2</v>
      </c>
      <c r="B131" s="3" t="s">
        <v>3</v>
      </c>
      <c r="C131" s="14" t="s">
        <v>4</v>
      </c>
      <c r="D131" s="15" t="s">
        <v>5</v>
      </c>
      <c r="E131" s="14" t="s">
        <v>6</v>
      </c>
      <c r="F131" s="14" t="s">
        <v>3</v>
      </c>
      <c r="G131" s="3" t="s">
        <v>10</v>
      </c>
      <c r="H131" s="3" t="s">
        <v>5</v>
      </c>
      <c r="I131" s="3" t="s">
        <v>12</v>
      </c>
      <c r="J131" s="3" t="s">
        <v>11</v>
      </c>
      <c r="K131" s="1" t="s">
        <v>7</v>
      </c>
      <c r="L131" s="2" t="s">
        <v>5</v>
      </c>
      <c r="M131" s="2" t="s">
        <v>9</v>
      </c>
      <c r="N131" s="3" t="s">
        <v>8</v>
      </c>
      <c r="O131" s="3" t="s">
        <v>6</v>
      </c>
      <c r="P131" s="16" t="s">
        <v>3</v>
      </c>
      <c r="Q131" s="2" t="s">
        <v>16</v>
      </c>
    </row>
    <row r="132" spans="1:17" ht="15.75" x14ac:dyDescent="0.2">
      <c r="A132" s="278" t="s">
        <v>259</v>
      </c>
      <c r="B132" s="296" t="s">
        <v>19</v>
      </c>
      <c r="C132" s="278" t="s">
        <v>348</v>
      </c>
      <c r="D132" s="278" t="s">
        <v>349</v>
      </c>
      <c r="E132" s="296" t="s">
        <v>19</v>
      </c>
      <c r="F132" s="296" t="s">
        <v>19</v>
      </c>
      <c r="G132" s="301" t="s">
        <v>265</v>
      </c>
      <c r="H132" s="301" t="s">
        <v>359</v>
      </c>
      <c r="I132" s="303" t="s">
        <v>19</v>
      </c>
      <c r="J132" s="303" t="s">
        <v>19</v>
      </c>
      <c r="K132" s="49" t="s">
        <v>19</v>
      </c>
      <c r="L132" s="53" t="s">
        <v>360</v>
      </c>
      <c r="M132" s="44" t="s">
        <v>361</v>
      </c>
      <c r="N132" s="45">
        <v>1</v>
      </c>
      <c r="O132" s="45"/>
      <c r="P132" s="46">
        <v>1</v>
      </c>
      <c r="Q132" s="54"/>
    </row>
    <row r="133" spans="1:17" ht="15.75" x14ac:dyDescent="0.2">
      <c r="A133" s="278"/>
      <c r="B133" s="296"/>
      <c r="C133" s="278"/>
      <c r="D133" s="278"/>
      <c r="E133" s="296"/>
      <c r="F133" s="296"/>
      <c r="G133" s="301"/>
      <c r="H133" s="301"/>
      <c r="I133" s="303"/>
      <c r="J133" s="303"/>
      <c r="K133" s="49" t="s">
        <v>21</v>
      </c>
      <c r="L133" s="53" t="s">
        <v>362</v>
      </c>
      <c r="M133" s="44" t="s">
        <v>363</v>
      </c>
      <c r="N133" s="45">
        <v>1</v>
      </c>
      <c r="O133" s="45"/>
      <c r="P133" s="46">
        <v>1</v>
      </c>
      <c r="Q133" s="54"/>
    </row>
    <row r="134" spans="1:17" ht="15.75" x14ac:dyDescent="0.2">
      <c r="A134" s="278"/>
      <c r="B134" s="296"/>
      <c r="C134" s="278"/>
      <c r="D134" s="278"/>
      <c r="E134" s="296"/>
      <c r="F134" s="296"/>
      <c r="G134" s="301"/>
      <c r="H134" s="301"/>
      <c r="I134" s="303"/>
      <c r="J134" s="303"/>
      <c r="K134" s="49" t="s">
        <v>23</v>
      </c>
      <c r="L134" s="53" t="s">
        <v>364</v>
      </c>
      <c r="M134" s="78" t="s">
        <v>365</v>
      </c>
      <c r="N134" s="45">
        <v>2</v>
      </c>
      <c r="O134" s="45"/>
      <c r="P134" s="46">
        <v>2</v>
      </c>
      <c r="Q134" s="54"/>
    </row>
    <row r="135" spans="1:17" ht="15.75" x14ac:dyDescent="0.2">
      <c r="A135" s="278"/>
      <c r="B135" s="296"/>
      <c r="C135" s="278"/>
      <c r="D135" s="278"/>
      <c r="E135" s="296"/>
      <c r="F135" s="296"/>
      <c r="G135" s="301"/>
      <c r="H135" s="301"/>
      <c r="I135" s="303"/>
      <c r="J135" s="303"/>
      <c r="K135" s="49" t="s">
        <v>26</v>
      </c>
      <c r="L135" s="53" t="s">
        <v>366</v>
      </c>
      <c r="M135" s="44" t="s">
        <v>367</v>
      </c>
      <c r="N135" s="45">
        <v>1</v>
      </c>
      <c r="O135" s="45"/>
      <c r="P135" s="46">
        <v>1</v>
      </c>
      <c r="Q135" s="54"/>
    </row>
    <row r="136" spans="1:17" ht="15.75" x14ac:dyDescent="0.2">
      <c r="A136" s="278"/>
      <c r="B136" s="296"/>
      <c r="C136" s="278"/>
      <c r="D136" s="278"/>
      <c r="E136" s="296"/>
      <c r="F136" s="296"/>
      <c r="G136" s="301"/>
      <c r="H136" s="301"/>
      <c r="I136" s="303"/>
      <c r="J136" s="303"/>
      <c r="K136" s="49" t="s">
        <v>29</v>
      </c>
      <c r="L136" s="53" t="s">
        <v>368</v>
      </c>
      <c r="M136" s="78" t="s">
        <v>100</v>
      </c>
      <c r="N136" s="45">
        <v>1</v>
      </c>
      <c r="O136" s="45"/>
      <c r="P136" s="46">
        <v>1</v>
      </c>
      <c r="Q136" s="54"/>
    </row>
    <row r="137" spans="1:17" ht="15.75" x14ac:dyDescent="0.2">
      <c r="A137" s="278"/>
      <c r="B137" s="296"/>
      <c r="C137" s="278"/>
      <c r="D137" s="278"/>
      <c r="E137" s="296"/>
      <c r="F137" s="296"/>
      <c r="G137" s="301"/>
      <c r="H137" s="301"/>
      <c r="I137" s="303"/>
      <c r="J137" s="303"/>
      <c r="K137" s="49" t="s">
        <v>32</v>
      </c>
      <c r="L137" s="53" t="s">
        <v>369</v>
      </c>
      <c r="M137" s="78" t="s">
        <v>370</v>
      </c>
      <c r="N137" s="45">
        <v>1</v>
      </c>
      <c r="O137" s="45"/>
      <c r="P137" s="46">
        <v>1</v>
      </c>
      <c r="Q137" s="54"/>
    </row>
    <row r="138" spans="1:17" ht="15.75" x14ac:dyDescent="0.2">
      <c r="A138" s="278"/>
      <c r="B138" s="296"/>
      <c r="C138" s="278"/>
      <c r="D138" s="278"/>
      <c r="E138" s="296"/>
      <c r="F138" s="296"/>
      <c r="G138" s="301"/>
      <c r="H138" s="301"/>
      <c r="I138" s="303"/>
      <c r="J138" s="303"/>
      <c r="K138" s="49" t="s">
        <v>35</v>
      </c>
      <c r="L138" s="53" t="s">
        <v>371</v>
      </c>
      <c r="M138" s="78" t="s">
        <v>372</v>
      </c>
      <c r="N138" s="45">
        <v>1</v>
      </c>
      <c r="O138" s="45"/>
      <c r="P138" s="46"/>
      <c r="Q138" s="54"/>
    </row>
    <row r="139" spans="1:17" ht="15.75" x14ac:dyDescent="0.2">
      <c r="A139" s="278"/>
      <c r="B139" s="296"/>
      <c r="C139" s="278"/>
      <c r="D139" s="278"/>
      <c r="E139" s="296"/>
      <c r="F139" s="296"/>
      <c r="G139" s="301"/>
      <c r="H139" s="301"/>
      <c r="I139" s="303"/>
      <c r="J139" s="303"/>
      <c r="K139" s="49" t="s">
        <v>37</v>
      </c>
      <c r="L139" s="53" t="s">
        <v>371</v>
      </c>
      <c r="M139" s="78" t="s">
        <v>373</v>
      </c>
      <c r="N139" s="45">
        <v>1</v>
      </c>
      <c r="O139" s="45"/>
      <c r="P139" s="46"/>
      <c r="Q139" s="54"/>
    </row>
    <row r="140" spans="1:17" ht="15.75" x14ac:dyDescent="0.2">
      <c r="A140" s="278"/>
      <c r="B140" s="296"/>
      <c r="C140" s="278"/>
      <c r="D140" s="278"/>
      <c r="E140" s="296"/>
      <c r="F140" s="296"/>
      <c r="G140" s="301" t="s">
        <v>268</v>
      </c>
      <c r="H140" s="301" t="s">
        <v>374</v>
      </c>
      <c r="I140" s="303" t="s">
        <v>19</v>
      </c>
      <c r="J140" s="303" t="s">
        <v>19</v>
      </c>
      <c r="K140" s="49" t="s">
        <v>40</v>
      </c>
      <c r="L140" s="53" t="s">
        <v>375</v>
      </c>
      <c r="M140" s="78" t="s">
        <v>376</v>
      </c>
      <c r="N140" s="79">
        <v>1</v>
      </c>
      <c r="O140" s="45"/>
      <c r="P140" s="46">
        <v>1</v>
      </c>
      <c r="Q140" s="54"/>
    </row>
    <row r="141" spans="1:17" ht="15.75" x14ac:dyDescent="0.2">
      <c r="A141" s="278"/>
      <c r="B141" s="296"/>
      <c r="C141" s="278"/>
      <c r="D141" s="278"/>
      <c r="E141" s="296"/>
      <c r="F141" s="296"/>
      <c r="G141" s="301"/>
      <c r="H141" s="301"/>
      <c r="I141" s="303"/>
      <c r="J141" s="303"/>
      <c r="K141" s="49" t="s">
        <v>51</v>
      </c>
      <c r="L141" s="53" t="s">
        <v>377</v>
      </c>
      <c r="M141" s="78" t="s">
        <v>378</v>
      </c>
      <c r="N141" s="79">
        <v>2</v>
      </c>
      <c r="O141" s="45"/>
      <c r="P141" s="46">
        <v>2</v>
      </c>
      <c r="Q141" s="54"/>
    </row>
    <row r="142" spans="1:17" ht="15.75" x14ac:dyDescent="0.2">
      <c r="A142" s="278"/>
      <c r="B142" s="296"/>
      <c r="C142" s="278"/>
      <c r="D142" s="278"/>
      <c r="E142" s="296"/>
      <c r="F142" s="296"/>
      <c r="G142" s="301"/>
      <c r="H142" s="301"/>
      <c r="I142" s="303"/>
      <c r="J142" s="303"/>
      <c r="K142" s="49" t="s">
        <v>52</v>
      </c>
      <c r="L142" s="53" t="s">
        <v>379</v>
      </c>
      <c r="M142" s="78" t="s">
        <v>100</v>
      </c>
      <c r="N142" s="79">
        <v>8</v>
      </c>
      <c r="O142" s="45"/>
      <c r="P142" s="46">
        <v>8</v>
      </c>
      <c r="Q142" s="54"/>
    </row>
    <row r="143" spans="1:17" ht="15.75" x14ac:dyDescent="0.2">
      <c r="A143" s="278"/>
      <c r="B143" s="296"/>
      <c r="C143" s="278"/>
      <c r="D143" s="278"/>
      <c r="E143" s="296"/>
      <c r="F143" s="296"/>
      <c r="G143" s="301"/>
      <c r="H143" s="301"/>
      <c r="I143" s="303"/>
      <c r="J143" s="303"/>
      <c r="K143" s="49" t="s">
        <v>53</v>
      </c>
      <c r="L143" s="53" t="s">
        <v>380</v>
      </c>
      <c r="M143" s="78" t="s">
        <v>42</v>
      </c>
      <c r="N143" s="79">
        <v>8</v>
      </c>
      <c r="O143" s="45"/>
      <c r="P143" s="46">
        <v>8</v>
      </c>
      <c r="Q143" s="54"/>
    </row>
    <row r="144" spans="1:17" ht="15.75" x14ac:dyDescent="0.2">
      <c r="A144" s="278"/>
      <c r="B144" s="296"/>
      <c r="C144" s="278"/>
      <c r="D144" s="278"/>
      <c r="E144" s="296"/>
      <c r="F144" s="296"/>
      <c r="G144" s="278" t="s">
        <v>348</v>
      </c>
      <c r="H144" s="278" t="s">
        <v>381</v>
      </c>
      <c r="I144" s="296" t="s">
        <v>19</v>
      </c>
      <c r="J144" s="296" t="s">
        <v>19</v>
      </c>
      <c r="K144" s="49" t="s">
        <v>57</v>
      </c>
      <c r="L144" s="53" t="s">
        <v>382</v>
      </c>
      <c r="M144" s="78" t="s">
        <v>44</v>
      </c>
      <c r="N144" s="79">
        <v>1</v>
      </c>
      <c r="O144" s="45"/>
      <c r="P144" s="46">
        <v>1</v>
      </c>
      <c r="Q144" s="54"/>
    </row>
    <row r="145" spans="1:17" ht="15.75" x14ac:dyDescent="0.2">
      <c r="A145" s="278"/>
      <c r="B145" s="296"/>
      <c r="C145" s="278"/>
      <c r="D145" s="278"/>
      <c r="E145" s="296"/>
      <c r="F145" s="296"/>
      <c r="G145" s="278"/>
      <c r="H145" s="278"/>
      <c r="I145" s="296"/>
      <c r="J145" s="296"/>
      <c r="K145" s="49" t="s">
        <v>58</v>
      </c>
      <c r="L145" s="53" t="s">
        <v>383</v>
      </c>
      <c r="M145" s="78" t="s">
        <v>384</v>
      </c>
      <c r="N145" s="45">
        <v>1</v>
      </c>
      <c r="O145" s="45"/>
      <c r="P145" s="45">
        <v>1</v>
      </c>
      <c r="Q145" s="54"/>
    </row>
    <row r="146" spans="1:17" ht="15.75" x14ac:dyDescent="0.2">
      <c r="A146" s="278"/>
      <c r="B146" s="296"/>
      <c r="C146" s="278"/>
      <c r="D146" s="278"/>
      <c r="E146" s="296"/>
      <c r="F146" s="296"/>
      <c r="G146" s="278"/>
      <c r="H146" s="278"/>
      <c r="I146" s="296"/>
      <c r="J146" s="296"/>
      <c r="K146" s="49" t="s">
        <v>65</v>
      </c>
      <c r="L146" s="74" t="s">
        <v>385</v>
      </c>
      <c r="M146" s="80" t="s">
        <v>386</v>
      </c>
      <c r="N146" s="81">
        <v>1</v>
      </c>
      <c r="O146" s="82"/>
      <c r="P146" s="82">
        <v>1</v>
      </c>
      <c r="Q146" s="75"/>
    </row>
    <row r="147" spans="1:17" ht="15.75" x14ac:dyDescent="0.2">
      <c r="A147" s="278"/>
      <c r="B147" s="296"/>
      <c r="C147" s="278"/>
      <c r="D147" s="278"/>
      <c r="E147" s="296"/>
      <c r="F147" s="296"/>
      <c r="G147" s="278"/>
      <c r="H147" s="278"/>
      <c r="I147" s="296"/>
      <c r="J147" s="296"/>
      <c r="K147" s="49" t="s">
        <v>66</v>
      </c>
      <c r="L147" s="83" t="s">
        <v>387</v>
      </c>
      <c r="M147" s="84" t="s">
        <v>365</v>
      </c>
      <c r="N147" s="79">
        <v>2</v>
      </c>
      <c r="O147" s="45"/>
      <c r="P147" s="45">
        <v>2</v>
      </c>
      <c r="Q147" s="54"/>
    </row>
  </sheetData>
  <mergeCells count="83">
    <mergeCell ref="H132:H139"/>
    <mergeCell ref="I132:I139"/>
    <mergeCell ref="J132:J139"/>
    <mergeCell ref="G140:G143"/>
    <mergeCell ref="H140:H143"/>
    <mergeCell ref="I140:I143"/>
    <mergeCell ref="J140:J143"/>
    <mergeCell ref="H105:H109"/>
    <mergeCell ref="I105:I109"/>
    <mergeCell ref="J105:J109"/>
    <mergeCell ref="A130:B130"/>
    <mergeCell ref="A132:A147"/>
    <mergeCell ref="B132:B147"/>
    <mergeCell ref="C132:C147"/>
    <mergeCell ref="D132:D147"/>
    <mergeCell ref="E132:E147"/>
    <mergeCell ref="F132:F147"/>
    <mergeCell ref="G105:G109"/>
    <mergeCell ref="G144:G147"/>
    <mergeCell ref="H144:H147"/>
    <mergeCell ref="I144:I147"/>
    <mergeCell ref="J144:J147"/>
    <mergeCell ref="G132:G139"/>
    <mergeCell ref="F102:F104"/>
    <mergeCell ref="C105:C109"/>
    <mergeCell ref="D105:D109"/>
    <mergeCell ref="E105:E109"/>
    <mergeCell ref="F105:F109"/>
    <mergeCell ref="E102:E104"/>
    <mergeCell ref="A100:B100"/>
    <mergeCell ref="A102:A109"/>
    <mergeCell ref="B102:B109"/>
    <mergeCell ref="C102:C104"/>
    <mergeCell ref="D102:D104"/>
    <mergeCell ref="I71:I80"/>
    <mergeCell ref="J71:J80"/>
    <mergeCell ref="G81:G88"/>
    <mergeCell ref="H81:H88"/>
    <mergeCell ref="I81:I88"/>
    <mergeCell ref="J81:J88"/>
    <mergeCell ref="E71:E88"/>
    <mergeCell ref="F71:F88"/>
    <mergeCell ref="F39:F58"/>
    <mergeCell ref="G39:G50"/>
    <mergeCell ref="H39:H50"/>
    <mergeCell ref="G51:G55"/>
    <mergeCell ref="G71:G80"/>
    <mergeCell ref="H71:H80"/>
    <mergeCell ref="A69:B69"/>
    <mergeCell ref="A71:A88"/>
    <mergeCell ref="B71:B88"/>
    <mergeCell ref="C71:C88"/>
    <mergeCell ref="D71:D88"/>
    <mergeCell ref="H51:H55"/>
    <mergeCell ref="I51:I55"/>
    <mergeCell ref="J51:J55"/>
    <mergeCell ref="G56:G58"/>
    <mergeCell ref="A37:B37"/>
    <mergeCell ref="A39:A58"/>
    <mergeCell ref="B39:B58"/>
    <mergeCell ref="C39:C58"/>
    <mergeCell ref="D39:D58"/>
    <mergeCell ref="E39:E58"/>
    <mergeCell ref="H56:H58"/>
    <mergeCell ref="I56:I58"/>
    <mergeCell ref="J56:J58"/>
    <mergeCell ref="I39:I50"/>
    <mergeCell ref="J39:J50"/>
    <mergeCell ref="F8:F13"/>
    <mergeCell ref="G8:G11"/>
    <mergeCell ref="H8:H11"/>
    <mergeCell ref="I8:I11"/>
    <mergeCell ref="J8:J11"/>
    <mergeCell ref="G12:G13"/>
    <mergeCell ref="H12:H13"/>
    <mergeCell ref="I12:I13"/>
    <mergeCell ref="J12:J13"/>
    <mergeCell ref="E8:E13"/>
    <mergeCell ref="A6:B6"/>
    <mergeCell ref="A8:A13"/>
    <mergeCell ref="B8:B13"/>
    <mergeCell ref="C8:C13"/>
    <mergeCell ref="D8:D13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4:S30"/>
  <sheetViews>
    <sheetView view="pageLayout" topLeftCell="A8" zoomScale="115" zoomScaleNormal="100" zoomScalePageLayoutView="115" workbookViewId="0">
      <selection activeCell="N29" sqref="N29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3.75" customHeight="1" x14ac:dyDescent="0.2"/>
    <row r="6" spans="1:19" ht="19.5" x14ac:dyDescent="0.2">
      <c r="A6" s="276" t="s">
        <v>0</v>
      </c>
      <c r="B6" s="277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3</v>
      </c>
      <c r="C8" s="9"/>
      <c r="D8" s="24" t="s">
        <v>207</v>
      </c>
      <c r="E8" s="7"/>
      <c r="F8" s="8"/>
      <c r="G8" s="422"/>
      <c r="H8" s="290" t="s">
        <v>238</v>
      </c>
      <c r="I8" s="422">
        <v>1</v>
      </c>
      <c r="J8" s="422">
        <v>3</v>
      </c>
      <c r="K8" s="25" t="s">
        <v>19</v>
      </c>
      <c r="L8" s="22" t="s">
        <v>208</v>
      </c>
      <c r="M8" s="26" t="s">
        <v>227</v>
      </c>
      <c r="N8" s="24">
        <v>2</v>
      </c>
      <c r="O8" s="24">
        <v>2</v>
      </c>
      <c r="P8" s="23">
        <f>O8*3</f>
        <v>6</v>
      </c>
      <c r="Q8" s="23">
        <v>51</v>
      </c>
      <c r="R8" s="23" t="s">
        <v>511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423"/>
      <c r="H9" s="425"/>
      <c r="I9" s="423"/>
      <c r="J9" s="423"/>
      <c r="K9" s="25" t="s">
        <v>21</v>
      </c>
      <c r="L9" s="22" t="s">
        <v>209</v>
      </c>
      <c r="M9" s="33" t="s">
        <v>228</v>
      </c>
      <c r="N9" s="24">
        <v>2</v>
      </c>
      <c r="O9" s="24">
        <v>2</v>
      </c>
      <c r="P9" s="23">
        <f t="shared" ref="P9:P26" si="0">O9*3</f>
        <v>6</v>
      </c>
      <c r="Q9" s="23">
        <v>39</v>
      </c>
      <c r="R9" s="23" t="s">
        <v>511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423"/>
      <c r="H10" s="425"/>
      <c r="I10" s="423"/>
      <c r="J10" s="423"/>
      <c r="K10" s="25" t="s">
        <v>23</v>
      </c>
      <c r="L10" s="22" t="s">
        <v>210</v>
      </c>
      <c r="M10" s="33" t="s">
        <v>229</v>
      </c>
      <c r="N10" s="24">
        <v>1</v>
      </c>
      <c r="O10" s="24">
        <v>1</v>
      </c>
      <c r="P10" s="23">
        <f t="shared" si="0"/>
        <v>3</v>
      </c>
      <c r="Q10" s="23">
        <v>15.5</v>
      </c>
      <c r="R10" s="23" t="s">
        <v>511</v>
      </c>
      <c r="S10" s="23" t="s">
        <v>44</v>
      </c>
    </row>
    <row r="11" spans="1:19" ht="14.25" customHeight="1" x14ac:dyDescent="0.2">
      <c r="A11" s="4"/>
      <c r="B11" s="8"/>
      <c r="C11" s="7"/>
      <c r="D11" s="7"/>
      <c r="E11" s="7"/>
      <c r="F11" s="8"/>
      <c r="G11" s="423"/>
      <c r="H11" s="425"/>
      <c r="I11" s="423"/>
      <c r="J11" s="423"/>
      <c r="K11" s="25" t="s">
        <v>26</v>
      </c>
      <c r="L11" s="36" t="s">
        <v>103</v>
      </c>
      <c r="M11" s="33">
        <v>980</v>
      </c>
      <c r="N11" s="33">
        <v>20</v>
      </c>
      <c r="O11" s="33">
        <v>20</v>
      </c>
      <c r="P11" s="23">
        <f t="shared" si="0"/>
        <v>60</v>
      </c>
      <c r="Q11" s="23">
        <v>60</v>
      </c>
      <c r="R11" s="23" t="s">
        <v>533</v>
      </c>
      <c r="S11" s="23" t="s">
        <v>44</v>
      </c>
    </row>
    <row r="12" spans="1:19" x14ac:dyDescent="0.2">
      <c r="A12" s="4"/>
      <c r="B12" s="8"/>
      <c r="C12" s="7"/>
      <c r="D12" s="7"/>
      <c r="E12" s="7"/>
      <c r="F12" s="8"/>
      <c r="G12" s="423"/>
      <c r="H12" s="425"/>
      <c r="I12" s="423"/>
      <c r="J12" s="423"/>
      <c r="K12" s="25" t="s">
        <v>29</v>
      </c>
      <c r="L12" s="40" t="s">
        <v>211</v>
      </c>
      <c r="M12" s="33">
        <v>1520</v>
      </c>
      <c r="N12" s="24">
        <v>4</v>
      </c>
      <c r="O12" s="24">
        <v>4</v>
      </c>
      <c r="P12" s="23">
        <f t="shared" si="0"/>
        <v>12</v>
      </c>
      <c r="Q12" s="23">
        <v>4</v>
      </c>
      <c r="R12" s="23" t="s">
        <v>511</v>
      </c>
      <c r="S12" s="23" t="s">
        <v>44</v>
      </c>
    </row>
    <row r="13" spans="1:19" x14ac:dyDescent="0.2">
      <c r="A13" s="4"/>
      <c r="B13" s="8"/>
      <c r="C13" s="7"/>
      <c r="D13" s="7"/>
      <c r="E13" s="7"/>
      <c r="F13" s="8"/>
      <c r="G13" s="423"/>
      <c r="H13" s="425"/>
      <c r="I13" s="423"/>
      <c r="J13" s="423"/>
      <c r="K13" s="25" t="s">
        <v>32</v>
      </c>
      <c r="L13" s="22" t="s">
        <v>212</v>
      </c>
      <c r="M13" s="33" t="s">
        <v>44</v>
      </c>
      <c r="N13" s="24">
        <v>10</v>
      </c>
      <c r="O13" s="24">
        <v>10</v>
      </c>
      <c r="P13" s="23">
        <f t="shared" si="0"/>
        <v>30</v>
      </c>
      <c r="Q13" s="23">
        <v>30</v>
      </c>
      <c r="R13" s="23" t="s">
        <v>533</v>
      </c>
      <c r="S13" s="23" t="s">
        <v>44</v>
      </c>
    </row>
    <row r="14" spans="1:19" x14ac:dyDescent="0.2">
      <c r="A14" s="4"/>
      <c r="B14" s="8"/>
      <c r="C14" s="7"/>
      <c r="D14" s="7"/>
      <c r="E14" s="7"/>
      <c r="F14" s="8"/>
      <c r="G14" s="423"/>
      <c r="H14" s="425"/>
      <c r="I14" s="423"/>
      <c r="J14" s="423"/>
      <c r="K14" s="25" t="s">
        <v>35</v>
      </c>
      <c r="L14" s="22" t="s">
        <v>213</v>
      </c>
      <c r="M14" s="33" t="s">
        <v>44</v>
      </c>
      <c r="N14" s="24">
        <v>20</v>
      </c>
      <c r="O14" s="24">
        <v>20</v>
      </c>
      <c r="P14" s="23">
        <f t="shared" si="0"/>
        <v>60</v>
      </c>
      <c r="Q14" s="23">
        <v>60</v>
      </c>
      <c r="R14" s="23" t="s">
        <v>533</v>
      </c>
      <c r="S14" s="23" t="s">
        <v>44</v>
      </c>
    </row>
    <row r="15" spans="1:19" x14ac:dyDescent="0.2">
      <c r="A15" s="4"/>
      <c r="B15" s="8"/>
      <c r="C15" s="7"/>
      <c r="D15" s="7"/>
      <c r="E15" s="7"/>
      <c r="F15" s="8"/>
      <c r="G15" s="423"/>
      <c r="H15" s="425"/>
      <c r="I15" s="423"/>
      <c r="J15" s="423"/>
      <c r="K15" s="25" t="s">
        <v>37</v>
      </c>
      <c r="L15" s="22" t="s">
        <v>214</v>
      </c>
      <c r="M15" s="24" t="s">
        <v>44</v>
      </c>
      <c r="N15" s="24">
        <v>20</v>
      </c>
      <c r="O15" s="24">
        <v>20</v>
      </c>
      <c r="P15" s="23">
        <f t="shared" si="0"/>
        <v>60</v>
      </c>
      <c r="Q15" s="23">
        <v>60</v>
      </c>
      <c r="R15" s="23" t="s">
        <v>533</v>
      </c>
      <c r="S15" s="23" t="s">
        <v>44</v>
      </c>
    </row>
    <row r="16" spans="1:19" x14ac:dyDescent="0.2">
      <c r="A16" s="4"/>
      <c r="B16" s="8"/>
      <c r="C16" s="7"/>
      <c r="D16" s="7"/>
      <c r="E16" s="7"/>
      <c r="F16" s="8"/>
      <c r="G16" s="423"/>
      <c r="H16" s="425"/>
      <c r="I16" s="423"/>
      <c r="J16" s="423"/>
      <c r="K16" s="25" t="s">
        <v>40</v>
      </c>
      <c r="L16" s="22" t="s">
        <v>215</v>
      </c>
      <c r="M16" s="24" t="s">
        <v>44</v>
      </c>
      <c r="N16" s="24">
        <v>8</v>
      </c>
      <c r="O16" s="24">
        <v>8</v>
      </c>
      <c r="P16" s="23">
        <f t="shared" si="0"/>
        <v>24</v>
      </c>
      <c r="Q16" s="23">
        <v>24</v>
      </c>
      <c r="R16" s="23" t="s">
        <v>533</v>
      </c>
      <c r="S16" s="23" t="s">
        <v>44</v>
      </c>
    </row>
    <row r="17" spans="1:19" x14ac:dyDescent="0.2">
      <c r="A17" s="4"/>
      <c r="B17" s="8"/>
      <c r="C17" s="7"/>
      <c r="D17" s="7"/>
      <c r="E17" s="7"/>
      <c r="F17" s="8"/>
      <c r="G17" s="423"/>
      <c r="H17" s="425"/>
      <c r="I17" s="423"/>
      <c r="J17" s="423"/>
      <c r="K17" s="25" t="s">
        <v>51</v>
      </c>
      <c r="L17" s="22" t="s">
        <v>216</v>
      </c>
      <c r="M17" s="24" t="s">
        <v>44</v>
      </c>
      <c r="N17" s="24">
        <v>30</v>
      </c>
      <c r="O17" s="24">
        <v>30</v>
      </c>
      <c r="P17" s="23">
        <f t="shared" si="0"/>
        <v>90</v>
      </c>
      <c r="Q17" s="23">
        <v>90</v>
      </c>
      <c r="R17" s="23" t="s">
        <v>533</v>
      </c>
      <c r="S17" s="23" t="s">
        <v>44</v>
      </c>
    </row>
    <row r="18" spans="1:19" x14ac:dyDescent="0.2">
      <c r="A18" s="4"/>
      <c r="B18" s="8"/>
      <c r="C18" s="7"/>
      <c r="D18" s="7"/>
      <c r="E18" s="7"/>
      <c r="F18" s="8"/>
      <c r="G18" s="423"/>
      <c r="H18" s="425"/>
      <c r="I18" s="423"/>
      <c r="J18" s="423"/>
      <c r="K18" s="25" t="s">
        <v>52</v>
      </c>
      <c r="L18" s="22" t="s">
        <v>217</v>
      </c>
      <c r="M18" s="24" t="s">
        <v>230</v>
      </c>
      <c r="N18" s="24">
        <v>1</v>
      </c>
      <c r="O18" s="24">
        <v>1</v>
      </c>
      <c r="P18" s="23">
        <f t="shared" si="0"/>
        <v>3</v>
      </c>
      <c r="Q18" s="23">
        <v>5</v>
      </c>
      <c r="R18" s="23" t="s">
        <v>511</v>
      </c>
      <c r="S18" s="23" t="s">
        <v>44</v>
      </c>
    </row>
    <row r="19" spans="1:19" x14ac:dyDescent="0.2">
      <c r="A19" s="4"/>
      <c r="B19" s="8"/>
      <c r="C19" s="7"/>
      <c r="D19" s="7"/>
      <c r="E19" s="7"/>
      <c r="F19" s="8"/>
      <c r="G19" s="423"/>
      <c r="H19" s="425"/>
      <c r="I19" s="423"/>
      <c r="J19" s="423"/>
      <c r="K19" s="25" t="s">
        <v>53</v>
      </c>
      <c r="L19" s="22" t="s">
        <v>218</v>
      </c>
      <c r="M19" s="24" t="s">
        <v>230</v>
      </c>
      <c r="N19" s="24">
        <v>1</v>
      </c>
      <c r="O19" s="24">
        <v>1</v>
      </c>
      <c r="P19" s="23">
        <f t="shared" si="0"/>
        <v>3</v>
      </c>
      <c r="Q19" s="23">
        <v>5</v>
      </c>
      <c r="R19" s="23" t="s">
        <v>511</v>
      </c>
      <c r="S19" s="23" t="s">
        <v>44</v>
      </c>
    </row>
    <row r="20" spans="1:19" x14ac:dyDescent="0.2">
      <c r="A20" s="4"/>
      <c r="B20" s="8"/>
      <c r="C20" s="7"/>
      <c r="D20" s="7"/>
      <c r="E20" s="7"/>
      <c r="F20" s="8"/>
      <c r="G20" s="423"/>
      <c r="H20" s="425"/>
      <c r="I20" s="423"/>
      <c r="J20" s="423"/>
      <c r="K20" s="25" t="s">
        <v>57</v>
      </c>
      <c r="L20" s="22" t="s">
        <v>219</v>
      </c>
      <c r="M20" s="24" t="s">
        <v>231</v>
      </c>
      <c r="N20" s="24">
        <v>10</v>
      </c>
      <c r="O20" s="24">
        <v>10</v>
      </c>
      <c r="P20" s="23">
        <f t="shared" si="0"/>
        <v>30</v>
      </c>
      <c r="Q20" s="23">
        <v>30</v>
      </c>
      <c r="R20" s="23" t="s">
        <v>533</v>
      </c>
      <c r="S20" s="23" t="s">
        <v>44</v>
      </c>
    </row>
    <row r="21" spans="1:19" x14ac:dyDescent="0.2">
      <c r="A21" s="4"/>
      <c r="B21" s="8"/>
      <c r="C21" s="7"/>
      <c r="D21" s="7"/>
      <c r="E21" s="7"/>
      <c r="F21" s="8"/>
      <c r="G21" s="423"/>
      <c r="H21" s="425"/>
      <c r="I21" s="423"/>
      <c r="J21" s="423"/>
      <c r="K21" s="25" t="s">
        <v>58</v>
      </c>
      <c r="L21" s="22" t="s">
        <v>220</v>
      </c>
      <c r="M21" s="24" t="s">
        <v>232</v>
      </c>
      <c r="N21" s="24">
        <v>10</v>
      </c>
      <c r="O21" s="24">
        <v>10</v>
      </c>
      <c r="P21" s="23">
        <f t="shared" si="0"/>
        <v>30</v>
      </c>
      <c r="Q21" s="23">
        <v>30</v>
      </c>
      <c r="R21" s="23" t="s">
        <v>533</v>
      </c>
      <c r="S21" s="23" t="s">
        <v>44</v>
      </c>
    </row>
    <row r="22" spans="1:19" x14ac:dyDescent="0.2">
      <c r="A22" s="4"/>
      <c r="B22" s="8"/>
      <c r="C22" s="7"/>
      <c r="D22" s="7"/>
      <c r="E22" s="7"/>
      <c r="F22" s="8"/>
      <c r="G22" s="423"/>
      <c r="H22" s="425"/>
      <c r="I22" s="423"/>
      <c r="J22" s="423"/>
      <c r="K22" s="25" t="s">
        <v>65</v>
      </c>
      <c r="L22" s="22" t="s">
        <v>221</v>
      </c>
      <c r="M22" s="24" t="s">
        <v>233</v>
      </c>
      <c r="N22" s="24">
        <v>4</v>
      </c>
      <c r="O22" s="24">
        <v>4</v>
      </c>
      <c r="P22" s="23">
        <f t="shared" si="0"/>
        <v>12</v>
      </c>
      <c r="Q22" s="23">
        <v>2.5</v>
      </c>
      <c r="R22" s="23" t="s">
        <v>511</v>
      </c>
      <c r="S22" s="23" t="s">
        <v>44</v>
      </c>
    </row>
    <row r="23" spans="1:19" x14ac:dyDescent="0.2">
      <c r="A23" s="4"/>
      <c r="B23" s="8"/>
      <c r="C23" s="7"/>
      <c r="D23" s="7"/>
      <c r="E23" s="7"/>
      <c r="F23" s="8"/>
      <c r="G23" s="423"/>
      <c r="H23" s="425"/>
      <c r="I23" s="423"/>
      <c r="J23" s="423"/>
      <c r="K23" s="25" t="s">
        <v>66</v>
      </c>
      <c r="L23" s="22" t="s">
        <v>222</v>
      </c>
      <c r="M23" s="24" t="s">
        <v>234</v>
      </c>
      <c r="N23" s="24">
        <v>10</v>
      </c>
      <c r="O23" s="24">
        <v>10</v>
      </c>
      <c r="P23" s="23">
        <f t="shared" si="0"/>
        <v>30</v>
      </c>
      <c r="Q23" s="23">
        <v>30</v>
      </c>
      <c r="R23" s="23" t="s">
        <v>533</v>
      </c>
      <c r="S23" s="23" t="s">
        <v>44</v>
      </c>
    </row>
    <row r="24" spans="1:19" x14ac:dyDescent="0.2">
      <c r="A24" s="4"/>
      <c r="B24" s="8"/>
      <c r="C24" s="7"/>
      <c r="D24" s="7"/>
      <c r="E24" s="7"/>
      <c r="F24" s="8"/>
      <c r="G24" s="423"/>
      <c r="H24" s="425"/>
      <c r="I24" s="423"/>
      <c r="J24" s="423"/>
      <c r="K24" s="25" t="s">
        <v>67</v>
      </c>
      <c r="L24" s="22" t="s">
        <v>223</v>
      </c>
      <c r="M24" s="24" t="s">
        <v>75</v>
      </c>
      <c r="N24" s="24">
        <v>10</v>
      </c>
      <c r="O24" s="24">
        <v>10</v>
      </c>
      <c r="P24" s="23">
        <f t="shared" si="0"/>
        <v>30</v>
      </c>
      <c r="Q24" s="23">
        <v>30</v>
      </c>
      <c r="R24" s="23" t="s">
        <v>533</v>
      </c>
      <c r="S24" s="23" t="s">
        <v>44</v>
      </c>
    </row>
    <row r="25" spans="1:19" x14ac:dyDescent="0.2">
      <c r="A25" s="4"/>
      <c r="B25" s="8"/>
      <c r="C25" s="7"/>
      <c r="D25" s="7"/>
      <c r="E25" s="7"/>
      <c r="F25" s="8"/>
      <c r="G25" s="423"/>
      <c r="H25" s="425"/>
      <c r="I25" s="423"/>
      <c r="J25" s="423"/>
      <c r="K25" s="25" t="s">
        <v>68</v>
      </c>
      <c r="L25" s="22" t="s">
        <v>38</v>
      </c>
      <c r="M25" s="24" t="s">
        <v>234</v>
      </c>
      <c r="N25" s="24">
        <v>40</v>
      </c>
      <c r="O25" s="24">
        <v>40</v>
      </c>
      <c r="P25" s="23">
        <f t="shared" si="0"/>
        <v>120</v>
      </c>
      <c r="Q25" s="23">
        <v>120</v>
      </c>
      <c r="R25" s="23" t="s">
        <v>533</v>
      </c>
      <c r="S25" s="23" t="s">
        <v>44</v>
      </c>
    </row>
    <row r="26" spans="1:19" x14ac:dyDescent="0.2">
      <c r="A26" s="4"/>
      <c r="B26" s="8"/>
      <c r="C26" s="7"/>
      <c r="D26" s="7"/>
      <c r="E26" s="7"/>
      <c r="F26" s="8"/>
      <c r="G26" s="424"/>
      <c r="H26" s="291"/>
      <c r="I26" s="424"/>
      <c r="J26" s="424"/>
      <c r="K26" s="25" t="s">
        <v>69</v>
      </c>
      <c r="L26" s="22" t="s">
        <v>90</v>
      </c>
      <c r="M26" s="24" t="s">
        <v>75</v>
      </c>
      <c r="N26" s="24">
        <v>40</v>
      </c>
      <c r="O26" s="24">
        <v>40</v>
      </c>
      <c r="P26" s="23">
        <f t="shared" si="0"/>
        <v>120</v>
      </c>
      <c r="Q26" s="23">
        <v>120</v>
      </c>
      <c r="R26" s="23" t="s">
        <v>533</v>
      </c>
      <c r="S26" s="23" t="s">
        <v>44</v>
      </c>
    </row>
    <row r="27" spans="1:19" x14ac:dyDescent="0.2">
      <c r="A27" s="4"/>
      <c r="B27" s="8"/>
      <c r="C27" s="7"/>
      <c r="D27" s="7"/>
      <c r="E27" s="7"/>
      <c r="F27" s="8"/>
      <c r="G27" s="422"/>
      <c r="H27" s="290" t="s">
        <v>224</v>
      </c>
      <c r="I27" s="422">
        <v>1</v>
      </c>
      <c r="J27" s="422">
        <v>2</v>
      </c>
      <c r="K27" s="25" t="s">
        <v>70</v>
      </c>
      <c r="L27" s="22" t="s">
        <v>224</v>
      </c>
      <c r="M27" s="24" t="s">
        <v>235</v>
      </c>
      <c r="N27" s="24">
        <v>2</v>
      </c>
      <c r="O27" s="24">
        <v>2</v>
      </c>
      <c r="P27" s="23">
        <f>O27*2</f>
        <v>4</v>
      </c>
      <c r="Q27" s="23">
        <v>4</v>
      </c>
      <c r="R27" s="23" t="s">
        <v>533</v>
      </c>
      <c r="S27" s="23" t="s">
        <v>44</v>
      </c>
    </row>
    <row r="28" spans="1:19" x14ac:dyDescent="0.2">
      <c r="A28" s="4"/>
      <c r="B28" s="8"/>
      <c r="C28" s="7"/>
      <c r="D28" s="7"/>
      <c r="E28" s="7"/>
      <c r="F28" s="8"/>
      <c r="G28" s="423"/>
      <c r="H28" s="425"/>
      <c r="I28" s="423"/>
      <c r="J28" s="423"/>
      <c r="K28" s="25" t="s">
        <v>77</v>
      </c>
      <c r="L28" s="22" t="s">
        <v>225</v>
      </c>
      <c r="M28" s="24" t="s">
        <v>236</v>
      </c>
      <c r="N28" s="24">
        <v>1</v>
      </c>
      <c r="O28" s="24">
        <v>1</v>
      </c>
      <c r="P28" s="23">
        <f t="shared" ref="P28:P29" si="1">O28*2</f>
        <v>2</v>
      </c>
      <c r="Q28" s="23">
        <v>16</v>
      </c>
      <c r="R28" s="23" t="s">
        <v>511</v>
      </c>
      <c r="S28" s="23" t="s">
        <v>44</v>
      </c>
    </row>
    <row r="29" spans="1:19" x14ac:dyDescent="0.2">
      <c r="A29" s="4"/>
      <c r="B29" s="8"/>
      <c r="C29" s="7"/>
      <c r="D29" s="7"/>
      <c r="E29" s="7"/>
      <c r="F29" s="8"/>
      <c r="G29" s="424"/>
      <c r="H29" s="291"/>
      <c r="I29" s="424"/>
      <c r="J29" s="424"/>
      <c r="K29" s="25" t="s">
        <v>78</v>
      </c>
      <c r="L29" s="22" t="s">
        <v>226</v>
      </c>
      <c r="M29" s="24" t="s">
        <v>237</v>
      </c>
      <c r="N29" s="24">
        <v>1</v>
      </c>
      <c r="O29" s="24">
        <v>1</v>
      </c>
      <c r="P29" s="23">
        <f t="shared" si="1"/>
        <v>2</v>
      </c>
      <c r="Q29" s="23">
        <v>12</v>
      </c>
      <c r="R29" s="23" t="s">
        <v>511</v>
      </c>
      <c r="S29" s="23" t="s">
        <v>44</v>
      </c>
    </row>
    <row r="30" spans="1:19" x14ac:dyDescent="0.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25" t="s">
        <v>79</v>
      </c>
      <c r="L30" s="155" t="s">
        <v>258</v>
      </c>
      <c r="M30" s="24" t="s">
        <v>682</v>
      </c>
      <c r="N30" s="24">
        <v>3</v>
      </c>
      <c r="O30" s="24">
        <v>3</v>
      </c>
      <c r="P30" s="23">
        <v>3</v>
      </c>
      <c r="Q30" s="23">
        <v>3</v>
      </c>
      <c r="R30" s="23" t="s">
        <v>533</v>
      </c>
      <c r="S30" s="23" t="s">
        <v>44</v>
      </c>
    </row>
  </sheetData>
  <mergeCells count="9">
    <mergeCell ref="H27:H29"/>
    <mergeCell ref="I27:I29"/>
    <mergeCell ref="J27:J29"/>
    <mergeCell ref="A6:B6"/>
    <mergeCell ref="J8:J26"/>
    <mergeCell ref="I8:I26"/>
    <mergeCell ref="H8:H26"/>
    <mergeCell ref="G8:G26"/>
    <mergeCell ref="G27:G29"/>
  </mergeCells>
  <pageMargins left="0.46195652173913043" right="0.7" top="0.56159420289855078" bottom="0.40760869565217389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4:S16"/>
  <sheetViews>
    <sheetView view="pageLayout" topLeftCell="A4" zoomScaleNormal="100" workbookViewId="0">
      <selection activeCell="O13" sqref="O13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3.75" customHeight="1" x14ac:dyDescent="0.2"/>
    <row r="6" spans="1:19" ht="19.5" x14ac:dyDescent="0.2">
      <c r="A6" s="276" t="s">
        <v>0</v>
      </c>
      <c r="B6" s="277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2</v>
      </c>
      <c r="C8" s="9"/>
      <c r="D8" s="24" t="s">
        <v>205</v>
      </c>
      <c r="E8" s="7"/>
      <c r="F8" s="8"/>
      <c r="G8" s="426"/>
      <c r="H8" s="427" t="s">
        <v>206</v>
      </c>
      <c r="I8" s="426">
        <v>1</v>
      </c>
      <c r="J8" s="426">
        <v>1</v>
      </c>
      <c r="K8" s="25" t="s">
        <v>19</v>
      </c>
      <c r="L8" s="22" t="s">
        <v>189</v>
      </c>
      <c r="M8" s="26" t="s">
        <v>198</v>
      </c>
      <c r="N8" s="24">
        <v>4</v>
      </c>
      <c r="O8" s="24">
        <v>4</v>
      </c>
      <c r="P8" s="23">
        <f>O8*2</f>
        <v>8</v>
      </c>
      <c r="Q8" s="23">
        <v>25</v>
      </c>
      <c r="R8" s="23" t="s">
        <v>511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426"/>
      <c r="H9" s="427"/>
      <c r="I9" s="426"/>
      <c r="J9" s="426"/>
      <c r="K9" s="25" t="s">
        <v>21</v>
      </c>
      <c r="L9" s="22" t="s">
        <v>190</v>
      </c>
      <c r="M9" s="33" t="s">
        <v>199</v>
      </c>
      <c r="N9" s="24">
        <v>2</v>
      </c>
      <c r="O9" s="24">
        <v>2</v>
      </c>
      <c r="P9" s="23">
        <f t="shared" ref="P9:P16" si="0">O9*2</f>
        <v>4</v>
      </c>
      <c r="Q9" s="23">
        <v>57</v>
      </c>
      <c r="R9" s="23" t="s">
        <v>511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426"/>
      <c r="H10" s="427"/>
      <c r="I10" s="426"/>
      <c r="J10" s="426"/>
      <c r="K10" s="25" t="s">
        <v>23</v>
      </c>
      <c r="L10" s="22" t="s">
        <v>191</v>
      </c>
      <c r="M10" s="33" t="s">
        <v>204</v>
      </c>
      <c r="N10" s="24">
        <v>2</v>
      </c>
      <c r="O10" s="24">
        <v>2</v>
      </c>
      <c r="P10" s="23">
        <f t="shared" si="0"/>
        <v>4</v>
      </c>
      <c r="Q10" s="23">
        <v>25</v>
      </c>
      <c r="R10" s="23" t="s">
        <v>511</v>
      </c>
      <c r="S10" s="23" t="s">
        <v>44</v>
      </c>
    </row>
    <row r="11" spans="1:19" ht="14.25" customHeight="1" x14ac:dyDescent="0.2">
      <c r="A11" s="4"/>
      <c r="B11" s="8"/>
      <c r="C11" s="7"/>
      <c r="D11" s="7"/>
      <c r="E11" s="7"/>
      <c r="F11" s="8"/>
      <c r="G11" s="426"/>
      <c r="H11" s="427"/>
      <c r="I11" s="426"/>
      <c r="J11" s="426"/>
      <c r="K11" s="25" t="s">
        <v>26</v>
      </c>
      <c r="L11" s="36" t="s">
        <v>192</v>
      </c>
      <c r="M11" s="33" t="s">
        <v>200</v>
      </c>
      <c r="N11" s="33">
        <v>52</v>
      </c>
      <c r="O11" s="33">
        <v>52</v>
      </c>
      <c r="P11" s="23">
        <f t="shared" si="0"/>
        <v>104</v>
      </c>
      <c r="Q11" s="23">
        <v>156</v>
      </c>
      <c r="R11" s="23" t="s">
        <v>511</v>
      </c>
      <c r="S11" s="23" t="s">
        <v>44</v>
      </c>
    </row>
    <row r="12" spans="1:19" x14ac:dyDescent="0.2">
      <c r="A12" s="4"/>
      <c r="B12" s="8"/>
      <c r="C12" s="7"/>
      <c r="D12" s="7"/>
      <c r="E12" s="7"/>
      <c r="F12" s="8"/>
      <c r="G12" s="426"/>
      <c r="H12" s="427"/>
      <c r="I12" s="426"/>
      <c r="J12" s="426"/>
      <c r="K12" s="25" t="s">
        <v>29</v>
      </c>
      <c r="L12" s="40" t="s">
        <v>193</v>
      </c>
      <c r="M12" s="33" t="s">
        <v>201</v>
      </c>
      <c r="N12" s="24">
        <v>2</v>
      </c>
      <c r="O12" s="24">
        <v>2</v>
      </c>
      <c r="P12" s="23">
        <f t="shared" si="0"/>
        <v>4</v>
      </c>
      <c r="Q12" s="23">
        <v>20</v>
      </c>
      <c r="R12" s="23" t="s">
        <v>511</v>
      </c>
      <c r="S12" s="23" t="s">
        <v>44</v>
      </c>
    </row>
    <row r="13" spans="1:19" x14ac:dyDescent="0.2">
      <c r="A13" s="4"/>
      <c r="B13" s="8"/>
      <c r="C13" s="7"/>
      <c r="D13" s="7"/>
      <c r="E13" s="7"/>
      <c r="F13" s="8"/>
      <c r="G13" s="426"/>
      <c r="H13" s="427"/>
      <c r="I13" s="426"/>
      <c r="J13" s="426"/>
      <c r="K13" s="25" t="s">
        <v>32</v>
      </c>
      <c r="L13" s="22" t="s">
        <v>116</v>
      </c>
      <c r="M13" s="33" t="s">
        <v>194</v>
      </c>
      <c r="N13" s="24">
        <v>4</v>
      </c>
      <c r="O13" s="24">
        <v>4</v>
      </c>
      <c r="P13" s="23">
        <f t="shared" si="0"/>
        <v>8</v>
      </c>
      <c r="Q13" s="23">
        <v>1</v>
      </c>
      <c r="R13" s="23" t="s">
        <v>511</v>
      </c>
      <c r="S13" s="23" t="s">
        <v>44</v>
      </c>
    </row>
    <row r="14" spans="1:19" x14ac:dyDescent="0.2">
      <c r="A14" s="4"/>
      <c r="B14" s="8"/>
      <c r="C14" s="7"/>
      <c r="D14" s="7"/>
      <c r="E14" s="7"/>
      <c r="F14" s="8"/>
      <c r="G14" s="426"/>
      <c r="H14" s="427"/>
      <c r="I14" s="426"/>
      <c r="J14" s="426"/>
      <c r="K14" s="25" t="s">
        <v>35</v>
      </c>
      <c r="L14" s="22" t="s">
        <v>195</v>
      </c>
      <c r="M14" s="33" t="s">
        <v>202</v>
      </c>
      <c r="N14" s="24">
        <v>2</v>
      </c>
      <c r="O14" s="24">
        <v>2</v>
      </c>
      <c r="P14" s="23">
        <f t="shared" si="0"/>
        <v>4</v>
      </c>
      <c r="Q14" s="23">
        <v>4</v>
      </c>
      <c r="R14" s="23" t="s">
        <v>533</v>
      </c>
      <c r="S14" s="23" t="s">
        <v>44</v>
      </c>
    </row>
    <row r="15" spans="1:19" x14ac:dyDescent="0.2">
      <c r="A15" s="4"/>
      <c r="B15" s="8"/>
      <c r="C15" s="7"/>
      <c r="D15" s="7"/>
      <c r="E15" s="7"/>
      <c r="F15" s="8"/>
      <c r="G15" s="426"/>
      <c r="H15" s="427"/>
      <c r="I15" s="426"/>
      <c r="J15" s="426"/>
      <c r="K15" s="25" t="s">
        <v>37</v>
      </c>
      <c r="L15" s="22" t="s">
        <v>115</v>
      </c>
      <c r="M15" s="24" t="s">
        <v>203</v>
      </c>
      <c r="N15" s="24">
        <v>2</v>
      </c>
      <c r="O15" s="24">
        <v>2</v>
      </c>
      <c r="P15" s="23">
        <f t="shared" si="0"/>
        <v>4</v>
      </c>
      <c r="Q15" s="23">
        <v>1</v>
      </c>
      <c r="R15" s="23" t="s">
        <v>511</v>
      </c>
      <c r="S15" s="23" t="s">
        <v>44</v>
      </c>
    </row>
    <row r="16" spans="1:19" x14ac:dyDescent="0.2">
      <c r="A16" s="4"/>
      <c r="B16" s="8"/>
      <c r="C16" s="7"/>
      <c r="D16" s="7"/>
      <c r="E16" s="7"/>
      <c r="F16" s="8"/>
      <c r="G16" s="39"/>
      <c r="H16" s="27"/>
      <c r="I16" s="39"/>
      <c r="J16" s="39"/>
      <c r="K16" s="25" t="s">
        <v>40</v>
      </c>
      <c r="L16" s="22" t="s">
        <v>196</v>
      </c>
      <c r="M16" s="24" t="s">
        <v>197</v>
      </c>
      <c r="N16" s="24">
        <v>8</v>
      </c>
      <c r="O16" s="24">
        <v>8</v>
      </c>
      <c r="P16" s="23">
        <f t="shared" si="0"/>
        <v>16</v>
      </c>
      <c r="Q16" s="23">
        <v>4</v>
      </c>
      <c r="R16" s="23" t="s">
        <v>511</v>
      </c>
      <c r="S16" s="23" t="s">
        <v>44</v>
      </c>
    </row>
  </sheetData>
  <mergeCells count="5">
    <mergeCell ref="J8:J15"/>
    <mergeCell ref="I8:I15"/>
    <mergeCell ref="H8:H15"/>
    <mergeCell ref="G8:G15"/>
    <mergeCell ref="A6:B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4:S19"/>
  <sheetViews>
    <sheetView view="pageLayout" topLeftCell="A7" zoomScale="115" zoomScaleNormal="100" zoomScalePageLayoutView="115" workbookViewId="0">
      <selection activeCell="M14" sqref="M14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3.75" customHeight="1" x14ac:dyDescent="0.2"/>
    <row r="6" spans="1:19" ht="19.5" x14ac:dyDescent="0.2">
      <c r="A6" s="276" t="s">
        <v>0</v>
      </c>
      <c r="B6" s="277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1</v>
      </c>
      <c r="C8" s="9"/>
      <c r="D8" s="24" t="s">
        <v>183</v>
      </c>
      <c r="E8" s="7"/>
      <c r="F8" s="8"/>
      <c r="G8" s="422"/>
      <c r="H8" s="290" t="s">
        <v>187</v>
      </c>
      <c r="I8" s="422">
        <v>1</v>
      </c>
      <c r="J8" s="422">
        <v>1</v>
      </c>
      <c r="K8" s="25" t="s">
        <v>19</v>
      </c>
      <c r="L8" s="36" t="s">
        <v>167</v>
      </c>
      <c r="M8" s="38" t="s">
        <v>168</v>
      </c>
      <c r="N8" s="33">
        <v>2</v>
      </c>
      <c r="O8" s="33">
        <v>2</v>
      </c>
      <c r="P8" s="33">
        <v>2</v>
      </c>
      <c r="Q8" s="23">
        <v>3.2</v>
      </c>
      <c r="R8" s="23" t="s">
        <v>511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424"/>
      <c r="H9" s="291"/>
      <c r="I9" s="424"/>
      <c r="J9" s="424"/>
      <c r="K9" s="25" t="s">
        <v>21</v>
      </c>
      <c r="L9" s="36" t="s">
        <v>169</v>
      </c>
      <c r="M9" s="33" t="s">
        <v>170</v>
      </c>
      <c r="N9" s="33">
        <v>8</v>
      </c>
      <c r="O9" s="33">
        <v>8</v>
      </c>
      <c r="P9" s="33">
        <v>8</v>
      </c>
      <c r="Q9" s="23">
        <v>1.5</v>
      </c>
      <c r="R9" s="23" t="s">
        <v>511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422"/>
      <c r="H10" s="290" t="s">
        <v>188</v>
      </c>
      <c r="I10" s="422">
        <v>2</v>
      </c>
      <c r="J10" s="422">
        <v>2</v>
      </c>
      <c r="K10" s="25" t="s">
        <v>23</v>
      </c>
      <c r="L10" s="36" t="s">
        <v>171</v>
      </c>
      <c r="M10" s="33" t="s">
        <v>184</v>
      </c>
      <c r="N10" s="33">
        <v>4</v>
      </c>
      <c r="O10" s="33">
        <v>4</v>
      </c>
      <c r="P10" s="33">
        <v>4</v>
      </c>
      <c r="Q10" s="23">
        <v>1.6</v>
      </c>
      <c r="R10" s="23" t="s">
        <v>511</v>
      </c>
      <c r="S10" s="23" t="s">
        <v>44</v>
      </c>
    </row>
    <row r="11" spans="1:19" ht="14.25" customHeight="1" x14ac:dyDescent="0.2">
      <c r="A11" s="4"/>
      <c r="B11" s="8"/>
      <c r="C11" s="7"/>
      <c r="D11" s="7"/>
      <c r="E11" s="7"/>
      <c r="F11" s="8"/>
      <c r="G11" s="423"/>
      <c r="H11" s="425"/>
      <c r="I11" s="423"/>
      <c r="J11" s="423"/>
      <c r="K11" s="25" t="s">
        <v>26</v>
      </c>
      <c r="L11" s="36" t="s">
        <v>172</v>
      </c>
      <c r="M11" s="33" t="s">
        <v>173</v>
      </c>
      <c r="N11" s="33">
        <v>4</v>
      </c>
      <c r="O11" s="33">
        <v>4</v>
      </c>
      <c r="P11" s="33">
        <v>4</v>
      </c>
      <c r="Q11" s="23">
        <v>1.1000000000000001</v>
      </c>
      <c r="R11" s="23" t="s">
        <v>511</v>
      </c>
      <c r="S11" s="23" t="s">
        <v>44</v>
      </c>
    </row>
    <row r="12" spans="1:19" x14ac:dyDescent="0.2">
      <c r="A12" s="4"/>
      <c r="B12" s="8"/>
      <c r="C12" s="7"/>
      <c r="D12" s="7"/>
      <c r="E12" s="7"/>
      <c r="F12" s="8"/>
      <c r="G12" s="423"/>
      <c r="H12" s="425"/>
      <c r="I12" s="423"/>
      <c r="J12" s="423"/>
      <c r="K12" s="25" t="s">
        <v>29</v>
      </c>
      <c r="L12" s="37" t="s">
        <v>174</v>
      </c>
      <c r="M12" s="33" t="s">
        <v>185</v>
      </c>
      <c r="N12" s="33">
        <v>4</v>
      </c>
      <c r="O12" s="33">
        <v>4</v>
      </c>
      <c r="P12" s="33">
        <v>4</v>
      </c>
      <c r="Q12" s="23">
        <v>2.2999999999999998</v>
      </c>
      <c r="R12" s="23" t="s">
        <v>511</v>
      </c>
      <c r="S12" s="23" t="s">
        <v>44</v>
      </c>
    </row>
    <row r="13" spans="1:19" x14ac:dyDescent="0.2">
      <c r="A13" s="4"/>
      <c r="B13" s="8"/>
      <c r="C13" s="7"/>
      <c r="D13" s="7"/>
      <c r="E13" s="7"/>
      <c r="F13" s="8"/>
      <c r="G13" s="423"/>
      <c r="H13" s="425"/>
      <c r="I13" s="423"/>
      <c r="J13" s="423"/>
      <c r="K13" s="25" t="s">
        <v>32</v>
      </c>
      <c r="L13" s="36" t="s">
        <v>175</v>
      </c>
      <c r="M13" s="33" t="s">
        <v>176</v>
      </c>
      <c r="N13" s="33">
        <v>4</v>
      </c>
      <c r="O13" s="33">
        <v>4</v>
      </c>
      <c r="P13" s="33">
        <v>4</v>
      </c>
      <c r="Q13" s="23">
        <v>1.6</v>
      </c>
      <c r="R13" s="23" t="s">
        <v>511</v>
      </c>
      <c r="S13" s="23" t="s">
        <v>44</v>
      </c>
    </row>
    <row r="14" spans="1:19" x14ac:dyDescent="0.2">
      <c r="A14" s="4"/>
      <c r="B14" s="8"/>
      <c r="C14" s="7"/>
      <c r="D14" s="7"/>
      <c r="E14" s="7"/>
      <c r="F14" s="8"/>
      <c r="G14" s="423"/>
      <c r="H14" s="425"/>
      <c r="I14" s="423"/>
      <c r="J14" s="423"/>
      <c r="K14" s="25" t="s">
        <v>35</v>
      </c>
      <c r="L14" s="36" t="s">
        <v>177</v>
      </c>
      <c r="M14" s="33" t="s">
        <v>186</v>
      </c>
      <c r="N14" s="33">
        <v>2</v>
      </c>
      <c r="O14" s="33">
        <v>2</v>
      </c>
      <c r="P14" s="33">
        <v>2</v>
      </c>
      <c r="Q14" s="23">
        <v>2</v>
      </c>
      <c r="R14" s="23" t="s">
        <v>511</v>
      </c>
      <c r="S14" s="23" t="s">
        <v>44</v>
      </c>
    </row>
    <row r="15" spans="1:19" x14ac:dyDescent="0.2">
      <c r="A15" s="4"/>
      <c r="B15" s="8"/>
      <c r="C15" s="7"/>
      <c r="D15" s="7"/>
      <c r="E15" s="7"/>
      <c r="F15" s="8"/>
      <c r="G15" s="423"/>
      <c r="H15" s="425"/>
      <c r="I15" s="423"/>
      <c r="J15" s="423"/>
      <c r="K15" s="25" t="s">
        <v>37</v>
      </c>
      <c r="L15" s="36" t="s">
        <v>81</v>
      </c>
      <c r="M15" s="33" t="s">
        <v>178</v>
      </c>
      <c r="N15" s="33">
        <v>2</v>
      </c>
      <c r="O15" s="33">
        <v>2</v>
      </c>
      <c r="P15" s="33">
        <v>2</v>
      </c>
      <c r="Q15" s="23">
        <v>0.19</v>
      </c>
      <c r="R15" s="23" t="s">
        <v>511</v>
      </c>
      <c r="S15" s="23" t="s">
        <v>44</v>
      </c>
    </row>
    <row r="16" spans="1:19" x14ac:dyDescent="0.2">
      <c r="A16" s="4"/>
      <c r="B16" s="8"/>
      <c r="C16" s="7"/>
      <c r="D16" s="7"/>
      <c r="E16" s="7"/>
      <c r="F16" s="8"/>
      <c r="G16" s="423"/>
      <c r="H16" s="425"/>
      <c r="I16" s="423"/>
      <c r="J16" s="423"/>
      <c r="K16" s="25" t="s">
        <v>40</v>
      </c>
      <c r="L16" s="36" t="s">
        <v>179</v>
      </c>
      <c r="M16" s="33" t="s">
        <v>180</v>
      </c>
      <c r="N16" s="33">
        <v>2</v>
      </c>
      <c r="O16" s="33">
        <v>2</v>
      </c>
      <c r="P16" s="33">
        <v>2</v>
      </c>
      <c r="Q16" s="23">
        <v>0.5</v>
      </c>
      <c r="R16" s="23" t="s">
        <v>511</v>
      </c>
      <c r="S16" s="23" t="s">
        <v>44</v>
      </c>
    </row>
    <row r="17" spans="1:19" x14ac:dyDescent="0.2">
      <c r="A17" s="4"/>
      <c r="B17" s="8"/>
      <c r="C17" s="7"/>
      <c r="D17" s="7"/>
      <c r="E17" s="7"/>
      <c r="F17" s="8"/>
      <c r="G17" s="424"/>
      <c r="H17" s="291"/>
      <c r="I17" s="424"/>
      <c r="J17" s="424"/>
      <c r="K17" s="25" t="s">
        <v>51</v>
      </c>
      <c r="L17" s="36" t="s">
        <v>181</v>
      </c>
      <c r="M17" s="33" t="s">
        <v>182</v>
      </c>
      <c r="N17" s="33">
        <v>2</v>
      </c>
      <c r="O17" s="33">
        <v>2</v>
      </c>
      <c r="P17" s="33">
        <v>2</v>
      </c>
      <c r="Q17" s="23">
        <v>0.3</v>
      </c>
      <c r="R17" s="23" t="s">
        <v>511</v>
      </c>
      <c r="S17" s="23" t="s">
        <v>44</v>
      </c>
    </row>
    <row r="18" spans="1:19" x14ac:dyDescent="0.2">
      <c r="A18" s="4"/>
      <c r="B18" s="8"/>
      <c r="C18" s="7"/>
      <c r="D18" s="7"/>
      <c r="E18" s="7"/>
      <c r="F18" s="8"/>
      <c r="G18" s="19"/>
      <c r="H18" s="27"/>
      <c r="I18" s="39"/>
      <c r="J18" s="39"/>
      <c r="K18" s="25" t="s">
        <v>52</v>
      </c>
      <c r="L18" s="36" t="s">
        <v>24</v>
      </c>
      <c r="M18" s="33" t="s">
        <v>25</v>
      </c>
      <c r="N18" s="33">
        <v>6</v>
      </c>
      <c r="O18" s="33">
        <v>6</v>
      </c>
      <c r="P18" s="33">
        <v>6</v>
      </c>
      <c r="Q18" s="23">
        <v>6</v>
      </c>
      <c r="R18" s="23" t="s">
        <v>533</v>
      </c>
      <c r="S18" s="23" t="s">
        <v>44</v>
      </c>
    </row>
    <row r="19" spans="1:19" x14ac:dyDescent="0.2">
      <c r="A19" s="4"/>
      <c r="B19" s="8"/>
      <c r="C19" s="7"/>
      <c r="D19" s="7"/>
      <c r="E19" s="7"/>
      <c r="F19" s="8"/>
      <c r="G19" s="19"/>
      <c r="H19" s="27"/>
      <c r="I19" s="39"/>
      <c r="J19" s="39"/>
      <c r="K19" s="25" t="s">
        <v>53</v>
      </c>
      <c r="L19" s="36" t="s">
        <v>84</v>
      </c>
      <c r="M19" s="33" t="s">
        <v>28</v>
      </c>
      <c r="N19" s="33">
        <v>6</v>
      </c>
      <c r="O19" s="33">
        <v>6</v>
      </c>
      <c r="P19" s="33">
        <v>6</v>
      </c>
      <c r="Q19" s="23">
        <v>6</v>
      </c>
      <c r="R19" s="23" t="s">
        <v>533</v>
      </c>
      <c r="S19" s="23" t="s">
        <v>44</v>
      </c>
    </row>
  </sheetData>
  <mergeCells count="9">
    <mergeCell ref="J10:J17"/>
    <mergeCell ref="I10:I17"/>
    <mergeCell ref="H10:H17"/>
    <mergeCell ref="G10:G17"/>
    <mergeCell ref="A6:B6"/>
    <mergeCell ref="J8:J9"/>
    <mergeCell ref="I8:I9"/>
    <mergeCell ref="H8:H9"/>
    <mergeCell ref="G8:G9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S11"/>
  <sheetViews>
    <sheetView view="pageLayout" topLeftCell="C1" zoomScale="130" zoomScaleNormal="100" zoomScalePageLayoutView="130" workbookViewId="0">
      <selection activeCell="P10" sqref="P10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3.75" customHeight="1" x14ac:dyDescent="0.2"/>
    <row r="6" spans="1:19" ht="19.5" x14ac:dyDescent="0.2">
      <c r="A6" s="276" t="s">
        <v>0</v>
      </c>
      <c r="B6" s="277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1</v>
      </c>
      <c r="C8" s="9"/>
      <c r="D8" s="24" t="s">
        <v>64</v>
      </c>
      <c r="E8" s="7"/>
      <c r="F8" s="8"/>
      <c r="G8" s="428"/>
      <c r="H8" s="290" t="s">
        <v>166</v>
      </c>
      <c r="I8" s="422">
        <v>1</v>
      </c>
      <c r="J8" s="422">
        <v>1</v>
      </c>
      <c r="K8" s="25" t="s">
        <v>19</v>
      </c>
      <c r="L8" s="36" t="s">
        <v>71</v>
      </c>
      <c r="M8" s="38" t="s">
        <v>163</v>
      </c>
      <c r="N8" s="33">
        <v>1</v>
      </c>
      <c r="O8" s="33">
        <v>1</v>
      </c>
      <c r="P8" s="33">
        <v>1</v>
      </c>
      <c r="Q8" s="23">
        <v>1</v>
      </c>
      <c r="R8" s="23" t="s">
        <v>533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429"/>
      <c r="H9" s="425"/>
      <c r="I9" s="423"/>
      <c r="J9" s="423"/>
      <c r="K9" s="25" t="s">
        <v>21</v>
      </c>
      <c r="L9" s="36" t="s">
        <v>73</v>
      </c>
      <c r="M9" s="33" t="s">
        <v>164</v>
      </c>
      <c r="N9" s="33">
        <v>1</v>
      </c>
      <c r="O9" s="33">
        <v>1</v>
      </c>
      <c r="P9" s="33">
        <v>1</v>
      </c>
      <c r="Q9" s="23">
        <v>96</v>
      </c>
      <c r="R9" s="23" t="s">
        <v>511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429"/>
      <c r="H10" s="425"/>
      <c r="I10" s="423"/>
      <c r="J10" s="423"/>
      <c r="K10" s="25" t="s">
        <v>23</v>
      </c>
      <c r="L10" s="36" t="s">
        <v>72</v>
      </c>
      <c r="M10" s="33" t="s">
        <v>165</v>
      </c>
      <c r="N10" s="33">
        <v>1</v>
      </c>
      <c r="O10" s="33">
        <v>1</v>
      </c>
      <c r="P10" s="33">
        <v>1</v>
      </c>
      <c r="Q10" s="23">
        <v>1</v>
      </c>
      <c r="R10" s="23" t="s">
        <v>533</v>
      </c>
      <c r="S10" s="23" t="s">
        <v>44</v>
      </c>
    </row>
    <row r="11" spans="1:19" ht="14.25" customHeight="1" x14ac:dyDescent="0.2">
      <c r="A11" s="4"/>
      <c r="B11" s="8"/>
      <c r="C11" s="7"/>
      <c r="D11" s="7"/>
      <c r="E11" s="7"/>
      <c r="F11" s="8"/>
      <c r="G11" s="430"/>
      <c r="H11" s="291"/>
      <c r="I11" s="424"/>
      <c r="J11" s="424"/>
      <c r="K11" s="25" t="s">
        <v>26</v>
      </c>
      <c r="L11" s="36" t="s">
        <v>74</v>
      </c>
      <c r="M11" s="33">
        <v>120</v>
      </c>
      <c r="N11" s="33">
        <v>1</v>
      </c>
      <c r="O11" s="33">
        <v>1</v>
      </c>
      <c r="P11" s="33">
        <v>1</v>
      </c>
      <c r="Q11" s="23">
        <v>1</v>
      </c>
      <c r="R11" s="23" t="s">
        <v>533</v>
      </c>
      <c r="S11" s="23" t="s">
        <v>44</v>
      </c>
    </row>
  </sheetData>
  <mergeCells count="5">
    <mergeCell ref="A6:B6"/>
    <mergeCell ref="J8:J11"/>
    <mergeCell ref="I8:I11"/>
    <mergeCell ref="H8:H11"/>
    <mergeCell ref="G8:G1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:S27"/>
  <sheetViews>
    <sheetView view="pageLayout" topLeftCell="A7" zoomScale="115" zoomScaleNormal="100" zoomScalePageLayoutView="115" workbookViewId="0">
      <selection activeCell="F17" sqref="F17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3.75" customHeight="1" x14ac:dyDescent="0.2"/>
    <row r="6" spans="1:19" ht="19.5" x14ac:dyDescent="0.2">
      <c r="A6" s="276" t="s">
        <v>0</v>
      </c>
      <c r="B6" s="277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7</v>
      </c>
      <c r="C8" s="9"/>
      <c r="D8" s="35" t="s">
        <v>130</v>
      </c>
      <c r="E8" s="7"/>
      <c r="F8" s="8"/>
      <c r="G8" s="428"/>
      <c r="H8" s="290" t="s">
        <v>688</v>
      </c>
      <c r="I8" s="422">
        <v>1</v>
      </c>
      <c r="J8" s="422">
        <v>7</v>
      </c>
      <c r="K8" s="25" t="s">
        <v>19</v>
      </c>
      <c r="L8" s="36" t="s">
        <v>131</v>
      </c>
      <c r="M8" s="38" t="s">
        <v>132</v>
      </c>
      <c r="N8" s="33">
        <v>1</v>
      </c>
      <c r="O8" s="33">
        <v>1</v>
      </c>
      <c r="P8" s="34">
        <f>O8*7</f>
        <v>7</v>
      </c>
      <c r="Q8" s="23">
        <v>91</v>
      </c>
      <c r="R8" s="23" t="s">
        <v>511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429"/>
      <c r="H9" s="425"/>
      <c r="I9" s="423"/>
      <c r="J9" s="423"/>
      <c r="K9" s="25" t="s">
        <v>21</v>
      </c>
      <c r="L9" s="36" t="s">
        <v>133</v>
      </c>
      <c r="M9" s="33" t="s">
        <v>134</v>
      </c>
      <c r="N9" s="33">
        <v>1</v>
      </c>
      <c r="O9" s="33">
        <v>1</v>
      </c>
      <c r="P9" s="34">
        <f t="shared" ref="P9:Q27" si="0">O9*7</f>
        <v>7</v>
      </c>
      <c r="Q9" s="23">
        <v>89</v>
      </c>
      <c r="R9" s="23" t="s">
        <v>511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429"/>
      <c r="H10" s="425"/>
      <c r="I10" s="423"/>
      <c r="J10" s="423"/>
      <c r="K10" s="25" t="s">
        <v>23</v>
      </c>
      <c r="L10" s="36" t="s">
        <v>135</v>
      </c>
      <c r="M10" s="33" t="s">
        <v>136</v>
      </c>
      <c r="N10" s="33">
        <v>3</v>
      </c>
      <c r="O10" s="33">
        <v>3</v>
      </c>
      <c r="P10" s="34">
        <f t="shared" si="0"/>
        <v>21</v>
      </c>
      <c r="Q10" s="23">
        <v>24</v>
      </c>
      <c r="R10" s="23" t="s">
        <v>511</v>
      </c>
      <c r="S10" s="23" t="s">
        <v>44</v>
      </c>
    </row>
    <row r="11" spans="1:19" ht="14.25" customHeight="1" x14ac:dyDescent="0.2">
      <c r="A11" s="4"/>
      <c r="B11" s="8"/>
      <c r="C11" s="7"/>
      <c r="D11" s="7"/>
      <c r="E11" s="7"/>
      <c r="F11" s="8"/>
      <c r="G11" s="429"/>
      <c r="H11" s="425"/>
      <c r="I11" s="423"/>
      <c r="J11" s="423"/>
      <c r="K11" s="25" t="s">
        <v>26</v>
      </c>
      <c r="L11" s="36" t="s">
        <v>82</v>
      </c>
      <c r="M11" s="33" t="s">
        <v>137</v>
      </c>
      <c r="N11" s="33">
        <v>2</v>
      </c>
      <c r="O11" s="33">
        <v>2</v>
      </c>
      <c r="P11" s="34">
        <f t="shared" si="0"/>
        <v>14</v>
      </c>
      <c r="Q11" s="23">
        <v>37</v>
      </c>
      <c r="R11" s="23" t="s">
        <v>511</v>
      </c>
      <c r="S11" s="23" t="s">
        <v>44</v>
      </c>
    </row>
    <row r="12" spans="1:19" ht="14.25" customHeight="1" x14ac:dyDescent="0.2">
      <c r="A12" s="4"/>
      <c r="B12" s="8"/>
      <c r="C12" s="7"/>
      <c r="D12" s="7"/>
      <c r="E12" s="7"/>
      <c r="F12" s="8"/>
      <c r="G12" s="429"/>
      <c r="H12" s="425"/>
      <c r="I12" s="423"/>
      <c r="J12" s="423"/>
      <c r="K12" s="25" t="s">
        <v>29</v>
      </c>
      <c r="L12" s="36" t="s">
        <v>83</v>
      </c>
      <c r="M12" s="33" t="s">
        <v>138</v>
      </c>
      <c r="N12" s="33">
        <v>2</v>
      </c>
      <c r="O12" s="33">
        <v>2</v>
      </c>
      <c r="P12" s="34">
        <f t="shared" si="0"/>
        <v>14</v>
      </c>
      <c r="Q12" s="23">
        <v>97</v>
      </c>
      <c r="R12" s="23" t="s">
        <v>511</v>
      </c>
      <c r="S12" s="23" t="s">
        <v>44</v>
      </c>
    </row>
    <row r="13" spans="1:19" ht="14.25" customHeight="1" x14ac:dyDescent="0.2">
      <c r="A13" s="4"/>
      <c r="B13" s="8"/>
      <c r="C13" s="7"/>
      <c r="D13" s="7"/>
      <c r="E13" s="7"/>
      <c r="F13" s="8"/>
      <c r="G13" s="429"/>
      <c r="H13" s="425"/>
      <c r="I13" s="423"/>
      <c r="J13" s="423"/>
      <c r="K13" s="25" t="s">
        <v>32</v>
      </c>
      <c r="L13" s="36" t="s">
        <v>81</v>
      </c>
      <c r="M13" s="33" t="s">
        <v>44</v>
      </c>
      <c r="N13" s="33">
        <v>1</v>
      </c>
      <c r="O13" s="33">
        <v>1</v>
      </c>
      <c r="P13" s="34">
        <f t="shared" si="0"/>
        <v>7</v>
      </c>
      <c r="Q13" s="23">
        <v>7</v>
      </c>
      <c r="R13" s="23" t="s">
        <v>533</v>
      </c>
      <c r="S13" s="23" t="s">
        <v>44</v>
      </c>
    </row>
    <row r="14" spans="1:19" ht="14.25" customHeight="1" x14ac:dyDescent="0.2">
      <c r="A14" s="4"/>
      <c r="B14" s="8"/>
      <c r="C14" s="7"/>
      <c r="D14" s="7"/>
      <c r="E14" s="7"/>
      <c r="F14" s="8"/>
      <c r="G14" s="429"/>
      <c r="H14" s="425"/>
      <c r="I14" s="423"/>
      <c r="J14" s="423"/>
      <c r="K14" s="25" t="s">
        <v>35</v>
      </c>
      <c r="L14" s="36" t="s">
        <v>139</v>
      </c>
      <c r="M14" s="33" t="s">
        <v>140</v>
      </c>
      <c r="N14" s="33">
        <v>1</v>
      </c>
      <c r="O14" s="33">
        <v>1</v>
      </c>
      <c r="P14" s="34">
        <f t="shared" si="0"/>
        <v>7</v>
      </c>
      <c r="Q14" s="23">
        <v>0.5</v>
      </c>
      <c r="R14" s="23" t="s">
        <v>511</v>
      </c>
      <c r="S14" s="23" t="s">
        <v>44</v>
      </c>
    </row>
    <row r="15" spans="1:19" ht="14.25" customHeight="1" x14ac:dyDescent="0.2">
      <c r="A15" s="4"/>
      <c r="B15" s="8"/>
      <c r="C15" s="7"/>
      <c r="D15" s="7"/>
      <c r="E15" s="7"/>
      <c r="F15" s="8"/>
      <c r="G15" s="429"/>
      <c r="H15" s="425"/>
      <c r="I15" s="423"/>
      <c r="J15" s="423"/>
      <c r="K15" s="25" t="s">
        <v>37</v>
      </c>
      <c r="L15" s="36" t="s">
        <v>141</v>
      </c>
      <c r="M15" s="33" t="s">
        <v>142</v>
      </c>
      <c r="N15" s="33">
        <v>3</v>
      </c>
      <c r="O15" s="33">
        <v>3</v>
      </c>
      <c r="P15" s="34">
        <f t="shared" si="0"/>
        <v>21</v>
      </c>
      <c r="Q15" s="23">
        <v>2.5</v>
      </c>
      <c r="R15" s="23" t="s">
        <v>511</v>
      </c>
      <c r="S15" s="23" t="s">
        <v>44</v>
      </c>
    </row>
    <row r="16" spans="1:19" ht="14.25" customHeight="1" x14ac:dyDescent="0.2">
      <c r="A16" s="4"/>
      <c r="B16" s="8"/>
      <c r="C16" s="7"/>
      <c r="D16" s="7"/>
      <c r="E16" s="7"/>
      <c r="F16" s="8"/>
      <c r="G16" s="429"/>
      <c r="H16" s="425"/>
      <c r="I16" s="423"/>
      <c r="J16" s="423"/>
      <c r="K16" s="25" t="s">
        <v>40</v>
      </c>
      <c r="L16" s="36" t="s">
        <v>143</v>
      </c>
      <c r="M16" s="33" t="s">
        <v>144</v>
      </c>
      <c r="N16" s="33">
        <v>3</v>
      </c>
      <c r="O16" s="33">
        <v>3</v>
      </c>
      <c r="P16" s="34">
        <f t="shared" si="0"/>
        <v>21</v>
      </c>
      <c r="Q16" s="23">
        <v>2.7</v>
      </c>
      <c r="R16" s="23" t="s">
        <v>511</v>
      </c>
      <c r="S16" s="23" t="s">
        <v>44</v>
      </c>
    </row>
    <row r="17" spans="1:19" ht="14.25" customHeight="1" x14ac:dyDescent="0.2">
      <c r="A17" s="4"/>
      <c r="B17" s="8"/>
      <c r="C17" s="7"/>
      <c r="D17" s="7"/>
      <c r="E17" s="7"/>
      <c r="F17" s="8"/>
      <c r="G17" s="429"/>
      <c r="H17" s="425"/>
      <c r="I17" s="423"/>
      <c r="J17" s="423"/>
      <c r="K17" s="25" t="s">
        <v>51</v>
      </c>
      <c r="L17" s="36" t="s">
        <v>145</v>
      </c>
      <c r="M17" s="33" t="s">
        <v>146</v>
      </c>
      <c r="N17" s="33">
        <v>3</v>
      </c>
      <c r="O17" s="33">
        <v>3</v>
      </c>
      <c r="P17" s="34">
        <f t="shared" si="0"/>
        <v>21</v>
      </c>
      <c r="Q17" s="23">
        <v>5.7</v>
      </c>
      <c r="R17" s="23" t="s">
        <v>511</v>
      </c>
      <c r="S17" s="23" t="s">
        <v>44</v>
      </c>
    </row>
    <row r="18" spans="1:19" ht="14.25" customHeight="1" x14ac:dyDescent="0.2">
      <c r="A18" s="4"/>
      <c r="B18" s="8"/>
      <c r="C18" s="7"/>
      <c r="D18" s="7"/>
      <c r="E18" s="7"/>
      <c r="F18" s="8"/>
      <c r="G18" s="429"/>
      <c r="H18" s="425"/>
      <c r="I18" s="423"/>
      <c r="J18" s="423"/>
      <c r="K18" s="25" t="s">
        <v>52</v>
      </c>
      <c r="L18" s="36" t="s">
        <v>147</v>
      </c>
      <c r="M18" s="33" t="s">
        <v>148</v>
      </c>
      <c r="N18" s="33">
        <v>3</v>
      </c>
      <c r="O18" s="33">
        <v>3</v>
      </c>
      <c r="P18" s="34">
        <f t="shared" si="0"/>
        <v>21</v>
      </c>
      <c r="Q18" s="23">
        <v>3.7</v>
      </c>
      <c r="R18" s="23" t="s">
        <v>511</v>
      </c>
      <c r="S18" s="23" t="s">
        <v>44</v>
      </c>
    </row>
    <row r="19" spans="1:19" ht="14.25" customHeight="1" x14ac:dyDescent="0.2">
      <c r="A19" s="4"/>
      <c r="B19" s="8"/>
      <c r="C19" s="7"/>
      <c r="D19" s="7"/>
      <c r="E19" s="7"/>
      <c r="F19" s="8"/>
      <c r="G19" s="429"/>
      <c r="H19" s="425"/>
      <c r="I19" s="423"/>
      <c r="J19" s="423"/>
      <c r="K19" s="25" t="s">
        <v>53</v>
      </c>
      <c r="L19" s="36" t="s">
        <v>38</v>
      </c>
      <c r="M19" s="33" t="s">
        <v>149</v>
      </c>
      <c r="N19" s="33">
        <v>9</v>
      </c>
      <c r="O19" s="33">
        <v>9</v>
      </c>
      <c r="P19" s="34">
        <f t="shared" si="0"/>
        <v>63</v>
      </c>
      <c r="Q19" s="34">
        <v>63</v>
      </c>
      <c r="R19" s="23" t="s">
        <v>533</v>
      </c>
      <c r="S19" s="23" t="s">
        <v>44</v>
      </c>
    </row>
    <row r="20" spans="1:19" ht="14.25" customHeight="1" x14ac:dyDescent="0.2">
      <c r="A20" s="4"/>
      <c r="B20" s="8"/>
      <c r="C20" s="7"/>
      <c r="D20" s="7"/>
      <c r="E20" s="7"/>
      <c r="F20" s="8"/>
      <c r="G20" s="429"/>
      <c r="H20" s="425"/>
      <c r="I20" s="423"/>
      <c r="J20" s="423"/>
      <c r="K20" s="25" t="s">
        <v>57</v>
      </c>
      <c r="L20" s="36" t="s">
        <v>162</v>
      </c>
      <c r="M20" s="33" t="s">
        <v>85</v>
      </c>
      <c r="N20" s="33">
        <v>9</v>
      </c>
      <c r="O20" s="33">
        <v>9</v>
      </c>
      <c r="P20" s="34">
        <f t="shared" si="0"/>
        <v>63</v>
      </c>
      <c r="Q20" s="34">
        <v>63</v>
      </c>
      <c r="R20" s="23" t="s">
        <v>533</v>
      </c>
      <c r="S20" s="23" t="s">
        <v>44</v>
      </c>
    </row>
    <row r="21" spans="1:19" x14ac:dyDescent="0.2">
      <c r="A21" s="4"/>
      <c r="B21" s="8"/>
      <c r="C21" s="7"/>
      <c r="D21" s="7"/>
      <c r="E21" s="7"/>
      <c r="F21" s="8"/>
      <c r="G21" s="429"/>
      <c r="H21" s="425"/>
      <c r="I21" s="423"/>
      <c r="J21" s="423"/>
      <c r="K21" s="25" t="s">
        <v>58</v>
      </c>
      <c r="L21" s="36" t="s">
        <v>150</v>
      </c>
      <c r="M21" s="33" t="s">
        <v>39</v>
      </c>
      <c r="N21" s="33">
        <v>1</v>
      </c>
      <c r="O21" s="33">
        <v>1</v>
      </c>
      <c r="P21" s="34">
        <f t="shared" si="0"/>
        <v>7</v>
      </c>
      <c r="Q21" s="34">
        <v>7</v>
      </c>
      <c r="R21" s="23" t="s">
        <v>533</v>
      </c>
      <c r="S21" s="23" t="s">
        <v>44</v>
      </c>
    </row>
    <row r="22" spans="1:19" x14ac:dyDescent="0.2">
      <c r="A22" s="4"/>
      <c r="B22" s="8"/>
      <c r="C22" s="7"/>
      <c r="D22" s="7"/>
      <c r="E22" s="7"/>
      <c r="F22" s="8"/>
      <c r="G22" s="429"/>
      <c r="H22" s="425"/>
      <c r="I22" s="423"/>
      <c r="J22" s="423"/>
      <c r="K22" s="25" t="s">
        <v>65</v>
      </c>
      <c r="L22" s="36" t="s">
        <v>151</v>
      </c>
      <c r="M22" s="33" t="s">
        <v>152</v>
      </c>
      <c r="N22" s="33">
        <v>4</v>
      </c>
      <c r="O22" s="33">
        <v>4</v>
      </c>
      <c r="P22" s="34">
        <f t="shared" si="0"/>
        <v>28</v>
      </c>
      <c r="Q22" s="23">
        <v>16</v>
      </c>
      <c r="R22" s="23" t="s">
        <v>511</v>
      </c>
      <c r="S22" s="23" t="s">
        <v>44</v>
      </c>
    </row>
    <row r="23" spans="1:19" x14ac:dyDescent="0.2">
      <c r="A23" s="4"/>
      <c r="B23" s="8"/>
      <c r="C23" s="7"/>
      <c r="D23" s="7"/>
      <c r="E23" s="7"/>
      <c r="F23" s="8"/>
      <c r="G23" s="429"/>
      <c r="H23" s="425"/>
      <c r="I23" s="423"/>
      <c r="J23" s="423"/>
      <c r="K23" s="25" t="s">
        <v>66</v>
      </c>
      <c r="L23" s="36" t="s">
        <v>153</v>
      </c>
      <c r="M23" s="33" t="s">
        <v>161</v>
      </c>
      <c r="N23" s="33">
        <v>1</v>
      </c>
      <c r="O23" s="33">
        <v>1</v>
      </c>
      <c r="P23" s="34">
        <f t="shared" si="0"/>
        <v>7</v>
      </c>
      <c r="Q23" s="23">
        <v>7</v>
      </c>
      <c r="R23" s="23" t="s">
        <v>533</v>
      </c>
      <c r="S23" s="23" t="s">
        <v>44</v>
      </c>
    </row>
    <row r="24" spans="1:19" x14ac:dyDescent="0.2">
      <c r="A24" s="4"/>
      <c r="B24" s="8"/>
      <c r="C24" s="7"/>
      <c r="D24" s="7"/>
      <c r="E24" s="7"/>
      <c r="F24" s="8"/>
      <c r="G24" s="429"/>
      <c r="H24" s="425"/>
      <c r="I24" s="423"/>
      <c r="J24" s="423"/>
      <c r="K24" s="25" t="s">
        <v>67</v>
      </c>
      <c r="L24" s="36" t="s">
        <v>154</v>
      </c>
      <c r="M24" s="33" t="s">
        <v>155</v>
      </c>
      <c r="N24" s="33">
        <v>1</v>
      </c>
      <c r="O24" s="33">
        <v>1</v>
      </c>
      <c r="P24" s="34">
        <f t="shared" si="0"/>
        <v>7</v>
      </c>
      <c r="Q24" s="23">
        <v>7</v>
      </c>
      <c r="R24" s="23" t="s">
        <v>533</v>
      </c>
      <c r="S24" s="23" t="s">
        <v>44</v>
      </c>
    </row>
    <row r="25" spans="1:19" x14ac:dyDescent="0.2">
      <c r="A25" s="4"/>
      <c r="B25" s="8"/>
      <c r="C25" s="7"/>
      <c r="D25" s="7"/>
      <c r="E25" s="7"/>
      <c r="F25" s="8"/>
      <c r="G25" s="429"/>
      <c r="H25" s="425"/>
      <c r="I25" s="423"/>
      <c r="J25" s="423"/>
      <c r="K25" s="25" t="s">
        <v>68</v>
      </c>
      <c r="L25" s="36" t="s">
        <v>156</v>
      </c>
      <c r="M25" s="33" t="s">
        <v>157</v>
      </c>
      <c r="N25" s="33">
        <v>1</v>
      </c>
      <c r="O25" s="33">
        <v>1</v>
      </c>
      <c r="P25" s="34">
        <f t="shared" si="0"/>
        <v>7</v>
      </c>
      <c r="Q25" s="23">
        <v>7</v>
      </c>
      <c r="R25" s="23" t="s">
        <v>533</v>
      </c>
      <c r="S25" s="23" t="s">
        <v>44</v>
      </c>
    </row>
    <row r="26" spans="1:19" x14ac:dyDescent="0.2">
      <c r="A26" s="4"/>
      <c r="B26" s="8"/>
      <c r="C26" s="7"/>
      <c r="D26" s="7"/>
      <c r="E26" s="7"/>
      <c r="F26" s="8"/>
      <c r="G26" s="429"/>
      <c r="H26" s="425"/>
      <c r="I26" s="423"/>
      <c r="J26" s="423"/>
      <c r="K26" s="25" t="s">
        <v>69</v>
      </c>
      <c r="L26" s="36" t="s">
        <v>158</v>
      </c>
      <c r="M26" s="33" t="s">
        <v>157</v>
      </c>
      <c r="N26" s="33">
        <v>1</v>
      </c>
      <c r="O26" s="33">
        <v>1</v>
      </c>
      <c r="P26" s="34">
        <f t="shared" si="0"/>
        <v>7</v>
      </c>
      <c r="Q26" s="23">
        <v>7</v>
      </c>
      <c r="R26" s="23" t="s">
        <v>533</v>
      </c>
      <c r="S26" s="23" t="s">
        <v>44</v>
      </c>
    </row>
    <row r="27" spans="1:19" x14ac:dyDescent="0.2">
      <c r="A27" s="4"/>
      <c r="B27" s="8"/>
      <c r="C27" s="7"/>
      <c r="D27" s="7"/>
      <c r="E27" s="7"/>
      <c r="F27" s="8"/>
      <c r="G27" s="430"/>
      <c r="H27" s="291"/>
      <c r="I27" s="424"/>
      <c r="J27" s="424"/>
      <c r="K27" s="25" t="s">
        <v>70</v>
      </c>
      <c r="L27" s="36" t="s">
        <v>160</v>
      </c>
      <c r="M27" s="33" t="s">
        <v>159</v>
      </c>
      <c r="N27" s="33">
        <v>1</v>
      </c>
      <c r="O27" s="33">
        <v>1</v>
      </c>
      <c r="P27" s="34">
        <f t="shared" si="0"/>
        <v>7</v>
      </c>
      <c r="Q27" s="23">
        <v>7</v>
      </c>
      <c r="R27" s="23" t="s">
        <v>533</v>
      </c>
      <c r="S27" s="23" t="s">
        <v>44</v>
      </c>
    </row>
  </sheetData>
  <mergeCells count="5">
    <mergeCell ref="A6:B6"/>
    <mergeCell ref="J8:J27"/>
    <mergeCell ref="G8:G27"/>
    <mergeCell ref="H8:H27"/>
    <mergeCell ref="I8:I2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S26"/>
  <sheetViews>
    <sheetView view="pageLayout" topLeftCell="A7" zoomScale="115" zoomScaleNormal="100" zoomScalePageLayoutView="115" workbookViewId="0">
      <selection activeCell="K15" sqref="K15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5.25" customHeight="1" x14ac:dyDescent="0.2"/>
    <row r="6" spans="1:19" ht="19.5" x14ac:dyDescent="0.2">
      <c r="A6" s="276" t="s">
        <v>0</v>
      </c>
      <c r="B6" s="277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9.15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1</v>
      </c>
      <c r="C8" s="9"/>
      <c r="D8" s="431" t="s">
        <v>56</v>
      </c>
      <c r="E8" s="7"/>
      <c r="F8" s="8"/>
      <c r="G8" s="428"/>
      <c r="H8" s="290" t="s">
        <v>193</v>
      </c>
      <c r="I8" s="422">
        <v>2</v>
      </c>
      <c r="J8" s="422">
        <v>2</v>
      </c>
      <c r="K8" s="25" t="s">
        <v>19</v>
      </c>
      <c r="L8" s="36" t="s">
        <v>115</v>
      </c>
      <c r="M8" s="33" t="s">
        <v>127</v>
      </c>
      <c r="N8" s="33">
        <v>2</v>
      </c>
      <c r="O8" s="33">
        <f>N8</f>
        <v>2</v>
      </c>
      <c r="P8" s="34">
        <f>O8</f>
        <v>2</v>
      </c>
      <c r="Q8" s="23">
        <v>2</v>
      </c>
      <c r="R8" s="23" t="s">
        <v>533</v>
      </c>
      <c r="S8" s="23" t="s">
        <v>44</v>
      </c>
    </row>
    <row r="9" spans="1:19" ht="14.25" customHeight="1" x14ac:dyDescent="0.2">
      <c r="A9" s="4"/>
      <c r="B9" s="8"/>
      <c r="C9" s="7"/>
      <c r="D9" s="432"/>
      <c r="E9" s="7"/>
      <c r="F9" s="8"/>
      <c r="G9" s="429"/>
      <c r="H9" s="425"/>
      <c r="I9" s="423"/>
      <c r="J9" s="423"/>
      <c r="K9" s="25" t="s">
        <v>21</v>
      </c>
      <c r="L9" s="36" t="s">
        <v>116</v>
      </c>
      <c r="M9" s="33" t="s">
        <v>44</v>
      </c>
      <c r="N9" s="33">
        <v>4</v>
      </c>
      <c r="O9" s="33">
        <f t="shared" ref="O9:P26" si="0">N9</f>
        <v>4</v>
      </c>
      <c r="P9" s="34">
        <f t="shared" si="0"/>
        <v>4</v>
      </c>
      <c r="Q9" s="23">
        <v>4</v>
      </c>
      <c r="R9" s="23" t="s">
        <v>533</v>
      </c>
      <c r="S9" s="23" t="s">
        <v>44</v>
      </c>
    </row>
    <row r="10" spans="1:19" ht="14.25" customHeight="1" x14ac:dyDescent="0.2">
      <c r="A10" s="8"/>
      <c r="B10" s="8"/>
      <c r="C10" s="8"/>
      <c r="D10" s="432"/>
      <c r="E10" s="8"/>
      <c r="F10" s="8"/>
      <c r="G10" s="429"/>
      <c r="H10" s="425"/>
      <c r="I10" s="423"/>
      <c r="J10" s="423"/>
      <c r="K10" s="25" t="s">
        <v>23</v>
      </c>
      <c r="L10" s="36" t="s">
        <v>117</v>
      </c>
      <c r="M10" s="33" t="s">
        <v>44</v>
      </c>
      <c r="N10" s="33">
        <v>2</v>
      </c>
      <c r="O10" s="33">
        <f t="shared" si="0"/>
        <v>2</v>
      </c>
      <c r="P10" s="34">
        <f t="shared" si="0"/>
        <v>2</v>
      </c>
      <c r="Q10" s="23">
        <v>2</v>
      </c>
      <c r="R10" s="23" t="s">
        <v>533</v>
      </c>
      <c r="S10" s="23" t="s">
        <v>44</v>
      </c>
    </row>
    <row r="11" spans="1:19" ht="14.25" customHeight="1" x14ac:dyDescent="0.2">
      <c r="A11" s="4"/>
      <c r="B11" s="8"/>
      <c r="C11" s="7"/>
      <c r="D11" s="432"/>
      <c r="E11" s="7"/>
      <c r="F11" s="8"/>
      <c r="G11" s="429"/>
      <c r="H11" s="425"/>
      <c r="I11" s="423"/>
      <c r="J11" s="423"/>
      <c r="K11" s="25" t="s">
        <v>26</v>
      </c>
      <c r="L11" s="36" t="s">
        <v>118</v>
      </c>
      <c r="M11" s="33" t="s">
        <v>119</v>
      </c>
      <c r="N11" s="33">
        <v>2</v>
      </c>
      <c r="O11" s="33">
        <f t="shared" si="0"/>
        <v>2</v>
      </c>
      <c r="P11" s="34">
        <f t="shared" si="0"/>
        <v>2</v>
      </c>
      <c r="Q11" s="23">
        <v>9</v>
      </c>
      <c r="R11" s="23" t="s">
        <v>511</v>
      </c>
      <c r="S11" s="23" t="s">
        <v>44</v>
      </c>
    </row>
    <row r="12" spans="1:19" ht="14.25" customHeight="1" x14ac:dyDescent="0.2">
      <c r="A12" s="4"/>
      <c r="B12" s="8"/>
      <c r="C12" s="7"/>
      <c r="D12" s="432"/>
      <c r="E12" s="7"/>
      <c r="F12" s="8"/>
      <c r="G12" s="429"/>
      <c r="H12" s="425"/>
      <c r="I12" s="423"/>
      <c r="J12" s="423"/>
      <c r="K12" s="25" t="s">
        <v>29</v>
      </c>
      <c r="L12" s="37" t="s">
        <v>120</v>
      </c>
      <c r="M12" s="33" t="s">
        <v>44</v>
      </c>
      <c r="N12" s="33">
        <v>16</v>
      </c>
      <c r="O12" s="33">
        <f t="shared" si="0"/>
        <v>16</v>
      </c>
      <c r="P12" s="34">
        <f t="shared" si="0"/>
        <v>16</v>
      </c>
      <c r="Q12" s="23">
        <v>16</v>
      </c>
      <c r="R12" s="23" t="s">
        <v>533</v>
      </c>
      <c r="S12" s="23" t="s">
        <v>44</v>
      </c>
    </row>
    <row r="13" spans="1:19" ht="14.25" customHeight="1" x14ac:dyDescent="0.2">
      <c r="A13" s="4"/>
      <c r="B13" s="8"/>
      <c r="C13" s="7"/>
      <c r="D13" s="432"/>
      <c r="E13" s="7"/>
      <c r="F13" s="8"/>
      <c r="G13" s="430"/>
      <c r="H13" s="291"/>
      <c r="I13" s="424"/>
      <c r="J13" s="424"/>
      <c r="K13" s="25" t="s">
        <v>32</v>
      </c>
      <c r="L13" s="36" t="s">
        <v>121</v>
      </c>
      <c r="M13" s="33" t="s">
        <v>44</v>
      </c>
      <c r="N13" s="33">
        <v>16</v>
      </c>
      <c r="O13" s="33">
        <f t="shared" si="0"/>
        <v>16</v>
      </c>
      <c r="P13" s="34">
        <f t="shared" si="0"/>
        <v>16</v>
      </c>
      <c r="Q13" s="23">
        <v>16</v>
      </c>
      <c r="R13" s="23" t="s">
        <v>533</v>
      </c>
      <c r="S13" s="23" t="s">
        <v>44</v>
      </c>
    </row>
    <row r="14" spans="1:19" ht="14.25" customHeight="1" x14ac:dyDescent="0.2">
      <c r="A14" s="4"/>
      <c r="B14" s="8"/>
      <c r="C14" s="7"/>
      <c r="D14" s="432"/>
      <c r="E14" s="7"/>
      <c r="F14" s="8"/>
      <c r="G14" s="10"/>
      <c r="H14" s="18"/>
      <c r="I14" s="19"/>
      <c r="J14" s="19"/>
      <c r="K14" s="25" t="s">
        <v>35</v>
      </c>
      <c r="L14" s="36" t="s">
        <v>122</v>
      </c>
      <c r="M14" s="33" t="s">
        <v>44</v>
      </c>
      <c r="N14" s="33">
        <v>16</v>
      </c>
      <c r="O14" s="33">
        <f t="shared" si="0"/>
        <v>16</v>
      </c>
      <c r="P14" s="34">
        <f t="shared" si="0"/>
        <v>16</v>
      </c>
      <c r="Q14" s="23">
        <v>16</v>
      </c>
      <c r="R14" s="23" t="s">
        <v>533</v>
      </c>
      <c r="S14" s="23" t="s">
        <v>44</v>
      </c>
    </row>
    <row r="15" spans="1:19" ht="14.25" customHeight="1" x14ac:dyDescent="0.2">
      <c r="A15" s="4"/>
      <c r="B15" s="8"/>
      <c r="C15" s="7"/>
      <c r="D15" s="432"/>
      <c r="E15" s="7"/>
      <c r="F15" s="8"/>
      <c r="G15" s="10"/>
      <c r="H15" s="18"/>
      <c r="I15" s="19"/>
      <c r="J15" s="19"/>
      <c r="K15" s="25" t="s">
        <v>37</v>
      </c>
      <c r="L15" s="36" t="s">
        <v>50</v>
      </c>
      <c r="M15" s="33" t="s">
        <v>44</v>
      </c>
      <c r="N15" s="33">
        <v>16</v>
      </c>
      <c r="O15" s="33">
        <f t="shared" si="0"/>
        <v>16</v>
      </c>
      <c r="P15" s="34">
        <f t="shared" si="0"/>
        <v>16</v>
      </c>
      <c r="Q15" s="23">
        <v>16</v>
      </c>
      <c r="R15" s="23" t="s">
        <v>533</v>
      </c>
      <c r="S15" s="23" t="s">
        <v>44</v>
      </c>
    </row>
    <row r="16" spans="1:19" ht="14.25" customHeight="1" x14ac:dyDescent="0.2">
      <c r="A16" s="4"/>
      <c r="B16" s="8"/>
      <c r="C16" s="7"/>
      <c r="D16" s="432"/>
      <c r="E16" s="7"/>
      <c r="F16" s="8"/>
      <c r="G16" s="428"/>
      <c r="H16" s="290" t="s">
        <v>687</v>
      </c>
      <c r="I16" s="422">
        <v>16</v>
      </c>
      <c r="J16" s="422">
        <v>16</v>
      </c>
      <c r="K16" s="25" t="s">
        <v>40</v>
      </c>
      <c r="L16" s="36" t="s">
        <v>45</v>
      </c>
      <c r="M16" s="38" t="s">
        <v>128</v>
      </c>
      <c r="N16" s="33">
        <v>16</v>
      </c>
      <c r="O16" s="33">
        <f t="shared" si="0"/>
        <v>16</v>
      </c>
      <c r="P16" s="34">
        <f t="shared" si="0"/>
        <v>16</v>
      </c>
      <c r="Q16" s="23">
        <v>16</v>
      </c>
      <c r="R16" s="23" t="s">
        <v>533</v>
      </c>
      <c r="S16" s="23" t="s">
        <v>44</v>
      </c>
    </row>
    <row r="17" spans="1:19" ht="14.25" customHeight="1" x14ac:dyDescent="0.2">
      <c r="A17" s="4"/>
      <c r="B17" s="8"/>
      <c r="C17" s="7"/>
      <c r="D17" s="432"/>
      <c r="E17" s="7"/>
      <c r="F17" s="8"/>
      <c r="G17" s="430"/>
      <c r="H17" s="291"/>
      <c r="I17" s="424"/>
      <c r="J17" s="424"/>
      <c r="K17" s="25" t="s">
        <v>51</v>
      </c>
      <c r="L17" s="36" t="s">
        <v>46</v>
      </c>
      <c r="M17" s="33" t="s">
        <v>44</v>
      </c>
      <c r="N17" s="33">
        <v>16</v>
      </c>
      <c r="O17" s="33">
        <f t="shared" si="0"/>
        <v>16</v>
      </c>
      <c r="P17" s="34">
        <f t="shared" si="0"/>
        <v>16</v>
      </c>
      <c r="Q17" s="23">
        <v>16</v>
      </c>
      <c r="R17" s="23" t="s">
        <v>533</v>
      </c>
      <c r="S17" s="23" t="s">
        <v>44</v>
      </c>
    </row>
    <row r="18" spans="1:19" ht="14.25" customHeight="1" x14ac:dyDescent="0.2">
      <c r="A18" s="4"/>
      <c r="B18" s="8"/>
      <c r="C18" s="7"/>
      <c r="D18" s="432"/>
      <c r="E18" s="7"/>
      <c r="F18" s="8"/>
      <c r="G18" s="10"/>
      <c r="H18" s="18"/>
      <c r="I18" s="19"/>
      <c r="J18" s="19"/>
      <c r="K18" s="25" t="s">
        <v>52</v>
      </c>
      <c r="L18" s="36" t="s">
        <v>48</v>
      </c>
      <c r="M18" s="33" t="s">
        <v>44</v>
      </c>
      <c r="N18" s="33">
        <v>400</v>
      </c>
      <c r="O18" s="33">
        <f t="shared" si="0"/>
        <v>400</v>
      </c>
      <c r="P18" s="34">
        <f t="shared" si="0"/>
        <v>400</v>
      </c>
      <c r="Q18" s="23">
        <v>400</v>
      </c>
      <c r="R18" s="23" t="s">
        <v>533</v>
      </c>
      <c r="S18" s="23" t="s">
        <v>44</v>
      </c>
    </row>
    <row r="19" spans="1:19" ht="14.25" customHeight="1" x14ac:dyDescent="0.2">
      <c r="A19" s="4"/>
      <c r="B19" s="8"/>
      <c r="C19" s="7"/>
      <c r="D19" s="432"/>
      <c r="E19" s="7"/>
      <c r="F19" s="8"/>
      <c r="G19" s="10"/>
      <c r="H19" s="18"/>
      <c r="I19" s="19"/>
      <c r="J19" s="19"/>
      <c r="K19" s="25" t="s">
        <v>53</v>
      </c>
      <c r="L19" s="36" t="s">
        <v>47</v>
      </c>
      <c r="M19" s="33" t="s">
        <v>44</v>
      </c>
      <c r="N19" s="33">
        <v>400</v>
      </c>
      <c r="O19" s="33">
        <f t="shared" si="0"/>
        <v>400</v>
      </c>
      <c r="P19" s="34">
        <f t="shared" si="0"/>
        <v>400</v>
      </c>
      <c r="Q19" s="23">
        <v>400</v>
      </c>
      <c r="R19" s="23" t="s">
        <v>533</v>
      </c>
      <c r="S19" s="23" t="s">
        <v>44</v>
      </c>
    </row>
    <row r="20" spans="1:19" ht="14.25" customHeight="1" x14ac:dyDescent="0.2">
      <c r="A20" s="4"/>
      <c r="B20" s="8"/>
      <c r="C20" s="7"/>
      <c r="D20" s="432"/>
      <c r="E20" s="7"/>
      <c r="F20" s="8"/>
      <c r="G20" s="10"/>
      <c r="H20" s="18"/>
      <c r="I20" s="19"/>
      <c r="J20" s="19"/>
      <c r="K20" s="25" t="s">
        <v>57</v>
      </c>
      <c r="L20" s="36" t="s">
        <v>123</v>
      </c>
      <c r="M20" s="33" t="s">
        <v>44</v>
      </c>
      <c r="N20" s="33">
        <v>400</v>
      </c>
      <c r="O20" s="33">
        <f t="shared" si="0"/>
        <v>400</v>
      </c>
      <c r="P20" s="34">
        <f t="shared" si="0"/>
        <v>400</v>
      </c>
      <c r="Q20" s="23">
        <v>400</v>
      </c>
      <c r="R20" s="23" t="s">
        <v>533</v>
      </c>
      <c r="S20" s="23" t="s">
        <v>44</v>
      </c>
    </row>
    <row r="21" spans="1:19" ht="14.25" customHeight="1" x14ac:dyDescent="0.2">
      <c r="A21" s="4"/>
      <c r="B21" s="8"/>
      <c r="C21" s="7"/>
      <c r="D21" s="432"/>
      <c r="E21" s="7"/>
      <c r="F21" s="8"/>
      <c r="G21" s="10"/>
      <c r="H21" s="18"/>
      <c r="I21" s="19"/>
      <c r="J21" s="19"/>
      <c r="K21" s="25" t="s">
        <v>58</v>
      </c>
      <c r="L21" s="36" t="s">
        <v>49</v>
      </c>
      <c r="M21" s="33" t="s">
        <v>44</v>
      </c>
      <c r="N21" s="33">
        <v>432</v>
      </c>
      <c r="O21" s="33">
        <f t="shared" si="0"/>
        <v>432</v>
      </c>
      <c r="P21" s="34">
        <f t="shared" si="0"/>
        <v>432</v>
      </c>
      <c r="Q21" s="23">
        <v>432</v>
      </c>
      <c r="R21" s="23" t="s">
        <v>533</v>
      </c>
      <c r="S21" s="23" t="s">
        <v>44</v>
      </c>
    </row>
    <row r="22" spans="1:19" x14ac:dyDescent="0.2">
      <c r="A22" s="4"/>
      <c r="B22" s="8"/>
      <c r="C22" s="7"/>
      <c r="D22" s="432"/>
      <c r="E22" s="7"/>
      <c r="F22" s="8"/>
      <c r="G22" s="10"/>
      <c r="H22" s="18"/>
      <c r="I22" s="19"/>
      <c r="J22" s="19"/>
      <c r="K22" s="25" t="s">
        <v>65</v>
      </c>
      <c r="L22" s="36" t="s">
        <v>124</v>
      </c>
      <c r="M22" s="33" t="s">
        <v>129</v>
      </c>
      <c r="N22" s="33">
        <v>6</v>
      </c>
      <c r="O22" s="33">
        <v>6</v>
      </c>
      <c r="P22" s="34">
        <f t="shared" si="0"/>
        <v>6</v>
      </c>
      <c r="Q22" s="23">
        <v>16</v>
      </c>
      <c r="R22" s="23" t="s">
        <v>511</v>
      </c>
      <c r="S22" s="23" t="s">
        <v>44</v>
      </c>
    </row>
    <row r="23" spans="1:19" x14ac:dyDescent="0.2">
      <c r="A23" s="4"/>
      <c r="B23" s="8"/>
      <c r="C23" s="7"/>
      <c r="D23" s="432"/>
      <c r="E23" s="7"/>
      <c r="F23" s="8"/>
      <c r="G23" s="10"/>
      <c r="H23" s="18"/>
      <c r="I23" s="19"/>
      <c r="J23" s="19"/>
      <c r="K23" s="25" t="s">
        <v>66</v>
      </c>
      <c r="L23" s="36" t="s">
        <v>125</v>
      </c>
      <c r="M23" s="33" t="s">
        <v>44</v>
      </c>
      <c r="N23" s="33">
        <v>32</v>
      </c>
      <c r="O23" s="33">
        <f t="shared" si="0"/>
        <v>32</v>
      </c>
      <c r="P23" s="34">
        <f t="shared" si="0"/>
        <v>32</v>
      </c>
      <c r="Q23" s="23">
        <v>32</v>
      </c>
      <c r="R23" s="23" t="s">
        <v>533</v>
      </c>
      <c r="S23" s="23" t="s">
        <v>44</v>
      </c>
    </row>
    <row r="24" spans="1:19" x14ac:dyDescent="0.2">
      <c r="A24" s="4"/>
      <c r="B24" s="8"/>
      <c r="C24" s="7"/>
      <c r="D24" s="432"/>
      <c r="E24" s="7"/>
      <c r="F24" s="8"/>
      <c r="G24" s="10"/>
      <c r="H24" s="18"/>
      <c r="I24" s="19"/>
      <c r="J24" s="19"/>
      <c r="K24" s="25" t="s">
        <v>67</v>
      </c>
      <c r="L24" s="36" t="s">
        <v>126</v>
      </c>
      <c r="M24" s="33" t="s">
        <v>55</v>
      </c>
      <c r="N24" s="33">
        <v>4</v>
      </c>
      <c r="O24" s="33">
        <f t="shared" si="0"/>
        <v>4</v>
      </c>
      <c r="P24" s="34">
        <f t="shared" si="0"/>
        <v>4</v>
      </c>
      <c r="Q24" s="23">
        <v>8</v>
      </c>
      <c r="R24" s="23" t="s">
        <v>511</v>
      </c>
      <c r="S24" s="23" t="s">
        <v>44</v>
      </c>
    </row>
    <row r="25" spans="1:19" x14ac:dyDescent="0.2">
      <c r="A25" s="4"/>
      <c r="B25" s="8"/>
      <c r="C25" s="7"/>
      <c r="D25" s="432"/>
      <c r="E25" s="7"/>
      <c r="F25" s="8"/>
      <c r="G25" s="428"/>
      <c r="H25" s="290" t="s">
        <v>273</v>
      </c>
      <c r="I25" s="422">
        <v>1</v>
      </c>
      <c r="J25" s="422">
        <v>1</v>
      </c>
      <c r="K25" s="25" t="s">
        <v>68</v>
      </c>
      <c r="L25" s="36" t="s">
        <v>38</v>
      </c>
      <c r="M25" s="33" t="s">
        <v>54</v>
      </c>
      <c r="N25" s="33">
        <v>32</v>
      </c>
      <c r="O25" s="33">
        <f t="shared" si="0"/>
        <v>32</v>
      </c>
      <c r="P25" s="34">
        <f t="shared" si="0"/>
        <v>32</v>
      </c>
      <c r="Q25" s="23">
        <v>32</v>
      </c>
      <c r="R25" s="23" t="s">
        <v>533</v>
      </c>
      <c r="S25" s="23" t="s">
        <v>44</v>
      </c>
    </row>
    <row r="26" spans="1:19" x14ac:dyDescent="0.2">
      <c r="A26" s="4"/>
      <c r="B26" s="8"/>
      <c r="C26" s="7"/>
      <c r="D26" s="433"/>
      <c r="E26" s="7"/>
      <c r="F26" s="8"/>
      <c r="G26" s="430"/>
      <c r="H26" s="291"/>
      <c r="I26" s="424"/>
      <c r="J26" s="424"/>
      <c r="K26" s="25" t="s">
        <v>69</v>
      </c>
      <c r="L26" s="36" t="s">
        <v>90</v>
      </c>
      <c r="M26" s="33" t="s">
        <v>42</v>
      </c>
      <c r="N26" s="33">
        <v>32</v>
      </c>
      <c r="O26" s="33">
        <f t="shared" si="0"/>
        <v>32</v>
      </c>
      <c r="P26" s="34">
        <f t="shared" si="0"/>
        <v>32</v>
      </c>
      <c r="Q26" s="23">
        <v>32</v>
      </c>
      <c r="R26" s="23" t="s">
        <v>533</v>
      </c>
      <c r="S26" s="23" t="s">
        <v>44</v>
      </c>
    </row>
  </sheetData>
  <mergeCells count="14">
    <mergeCell ref="A6:B6"/>
    <mergeCell ref="D8:D26"/>
    <mergeCell ref="J8:J13"/>
    <mergeCell ref="I8:I13"/>
    <mergeCell ref="H8:H13"/>
    <mergeCell ref="G8:G13"/>
    <mergeCell ref="J16:J17"/>
    <mergeCell ref="G16:G17"/>
    <mergeCell ref="H16:H17"/>
    <mergeCell ref="I16:I17"/>
    <mergeCell ref="J25:J26"/>
    <mergeCell ref="G25:G26"/>
    <mergeCell ref="H25:H26"/>
    <mergeCell ref="I25:I2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S45"/>
  <sheetViews>
    <sheetView view="pageLayout" topLeftCell="B4" zoomScale="115" zoomScaleNormal="100" zoomScalePageLayoutView="115" workbookViewId="0">
      <selection activeCell="G43" sqref="G43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7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7" width="5.125" customWidth="1"/>
    <col min="18" max="18" width="3.875" customWidth="1"/>
    <col min="19" max="20" width="8" customWidth="1"/>
    <col min="21" max="21" width="7.125" customWidth="1"/>
  </cols>
  <sheetData>
    <row r="4" spans="1:19" ht="12" customHeight="1" x14ac:dyDescent="0.2"/>
    <row r="5" spans="1:19" ht="5.25" customHeight="1" x14ac:dyDescent="0.2"/>
    <row r="6" spans="1:19" ht="19.5" x14ac:dyDescent="0.2">
      <c r="A6" s="276" t="s">
        <v>0</v>
      </c>
      <c r="B6" s="277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9.15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1</v>
      </c>
      <c r="C8" s="9"/>
      <c r="D8" s="434" t="s">
        <v>113</v>
      </c>
      <c r="E8" s="7"/>
      <c r="F8" s="8"/>
      <c r="G8" s="428"/>
      <c r="H8" s="290" t="s">
        <v>88</v>
      </c>
      <c r="I8" s="422">
        <v>1</v>
      </c>
      <c r="J8" s="422">
        <v>1</v>
      </c>
      <c r="K8" s="25" t="s">
        <v>19</v>
      </c>
      <c r="L8" s="22" t="s">
        <v>87</v>
      </c>
      <c r="M8" s="26" t="s">
        <v>109</v>
      </c>
      <c r="N8" s="24">
        <v>3</v>
      </c>
      <c r="O8" s="24">
        <v>3</v>
      </c>
      <c r="P8" s="23">
        <v>3</v>
      </c>
      <c r="Q8" s="23">
        <v>8.5</v>
      </c>
      <c r="R8" s="23" t="s">
        <v>511</v>
      </c>
      <c r="S8" s="23" t="s">
        <v>44</v>
      </c>
    </row>
    <row r="9" spans="1:19" ht="14.25" customHeight="1" x14ac:dyDescent="0.2">
      <c r="A9" s="4"/>
      <c r="B9" s="8"/>
      <c r="C9" s="7"/>
      <c r="D9" s="435"/>
      <c r="E9" s="7"/>
      <c r="F9" s="8"/>
      <c r="G9" s="429"/>
      <c r="H9" s="425"/>
      <c r="I9" s="423"/>
      <c r="J9" s="423"/>
      <c r="K9" s="25" t="s">
        <v>21</v>
      </c>
      <c r="L9" s="22" t="s">
        <v>88</v>
      </c>
      <c r="M9" s="26" t="s">
        <v>89</v>
      </c>
      <c r="N9" s="24">
        <v>3</v>
      </c>
      <c r="O9" s="24">
        <v>3</v>
      </c>
      <c r="P9" s="23">
        <f>N9*1</f>
        <v>3</v>
      </c>
      <c r="Q9" s="23">
        <v>2.5</v>
      </c>
      <c r="R9" s="23" t="s">
        <v>511</v>
      </c>
      <c r="S9" s="23" t="s">
        <v>44</v>
      </c>
    </row>
    <row r="10" spans="1:19" ht="14.25" customHeight="1" x14ac:dyDescent="0.2">
      <c r="A10" s="8"/>
      <c r="B10" s="8"/>
      <c r="C10" s="8"/>
      <c r="D10" s="435"/>
      <c r="E10" s="8"/>
      <c r="F10" s="8"/>
      <c r="G10" s="429"/>
      <c r="H10" s="425"/>
      <c r="I10" s="423"/>
      <c r="J10" s="423"/>
      <c r="K10" s="25" t="s">
        <v>23</v>
      </c>
      <c r="L10" s="22" t="s">
        <v>38</v>
      </c>
      <c r="M10" s="26" t="s">
        <v>86</v>
      </c>
      <c r="N10" s="24">
        <v>24</v>
      </c>
      <c r="O10" s="24">
        <f>N10*1</f>
        <v>24</v>
      </c>
      <c r="P10" s="23">
        <f>N10*1</f>
        <v>24</v>
      </c>
      <c r="Q10" s="23">
        <v>24</v>
      </c>
      <c r="R10" s="23" t="s">
        <v>533</v>
      </c>
      <c r="S10" s="23" t="s">
        <v>44</v>
      </c>
    </row>
    <row r="11" spans="1:19" ht="14.25" customHeight="1" x14ac:dyDescent="0.2">
      <c r="A11" s="4"/>
      <c r="B11" s="8"/>
      <c r="C11" s="7"/>
      <c r="D11" s="435"/>
      <c r="E11" s="7"/>
      <c r="F11" s="8"/>
      <c r="G11" s="430"/>
      <c r="H11" s="291"/>
      <c r="I11" s="424"/>
      <c r="J11" s="424"/>
      <c r="K11" s="25" t="s">
        <v>26</v>
      </c>
      <c r="L11" s="22" t="s">
        <v>90</v>
      </c>
      <c r="M11" s="26" t="s">
        <v>85</v>
      </c>
      <c r="N11" s="24">
        <v>24</v>
      </c>
      <c r="O11" s="24">
        <f>N11*1</f>
        <v>24</v>
      </c>
      <c r="P11" s="23">
        <f>N11*1</f>
        <v>24</v>
      </c>
      <c r="Q11" s="23">
        <v>24</v>
      </c>
      <c r="R11" s="23" t="s">
        <v>533</v>
      </c>
      <c r="S11" s="23" t="s">
        <v>44</v>
      </c>
    </row>
    <row r="12" spans="1:19" ht="14.25" customHeight="1" x14ac:dyDescent="0.2">
      <c r="A12" s="4"/>
      <c r="B12" s="8"/>
      <c r="C12" s="7"/>
      <c r="D12" s="435"/>
      <c r="E12" s="7"/>
      <c r="F12" s="8"/>
      <c r="G12" s="428"/>
      <c r="H12" s="290" t="s">
        <v>91</v>
      </c>
      <c r="I12" s="422">
        <v>1</v>
      </c>
      <c r="J12" s="422">
        <v>1</v>
      </c>
      <c r="K12" s="25" t="s">
        <v>29</v>
      </c>
      <c r="L12" s="22" t="s">
        <v>92</v>
      </c>
      <c r="M12" s="26" t="s">
        <v>110</v>
      </c>
      <c r="N12" s="24">
        <v>4</v>
      </c>
      <c r="O12" s="24">
        <v>4</v>
      </c>
      <c r="P12" s="23">
        <v>4</v>
      </c>
      <c r="Q12" s="23">
        <v>9.5</v>
      </c>
      <c r="R12" s="23" t="s">
        <v>511</v>
      </c>
      <c r="S12" s="23" t="s">
        <v>44</v>
      </c>
    </row>
    <row r="13" spans="1:19" ht="14.25" customHeight="1" x14ac:dyDescent="0.2">
      <c r="A13" s="4"/>
      <c r="B13" s="8"/>
      <c r="C13" s="7"/>
      <c r="D13" s="435"/>
      <c r="E13" s="7"/>
      <c r="F13" s="8"/>
      <c r="G13" s="430"/>
      <c r="H13" s="291"/>
      <c r="I13" s="424"/>
      <c r="J13" s="424"/>
      <c r="K13" s="25" t="s">
        <v>32</v>
      </c>
      <c r="L13" s="22" t="s">
        <v>93</v>
      </c>
      <c r="M13" s="26" t="s">
        <v>94</v>
      </c>
      <c r="N13" s="24">
        <v>16</v>
      </c>
      <c r="O13" s="24">
        <v>16</v>
      </c>
      <c r="P13" s="23">
        <v>16</v>
      </c>
      <c r="Q13" s="23">
        <v>4</v>
      </c>
      <c r="R13" s="23" t="s">
        <v>511</v>
      </c>
      <c r="S13" s="23" t="s">
        <v>44</v>
      </c>
    </row>
    <row r="14" spans="1:19" ht="14.25" customHeight="1" x14ac:dyDescent="0.2">
      <c r="A14" s="4"/>
      <c r="B14" s="8"/>
      <c r="C14" s="7"/>
      <c r="D14" s="435"/>
      <c r="E14" s="7"/>
      <c r="F14" s="8"/>
      <c r="G14" s="10"/>
      <c r="H14" s="18"/>
      <c r="I14" s="19"/>
      <c r="J14" s="19"/>
      <c r="K14" s="25" t="s">
        <v>35</v>
      </c>
      <c r="L14" s="22" t="s">
        <v>95</v>
      </c>
      <c r="M14" s="26" t="s">
        <v>111</v>
      </c>
      <c r="N14" s="24">
        <v>2</v>
      </c>
      <c r="O14" s="24">
        <f>N14*1</f>
        <v>2</v>
      </c>
      <c r="P14" s="23">
        <f t="shared" ref="P14:P25" si="0">N14*1</f>
        <v>2</v>
      </c>
      <c r="Q14" s="23">
        <v>8</v>
      </c>
      <c r="R14" s="23" t="s">
        <v>511</v>
      </c>
      <c r="S14" s="23" t="s">
        <v>44</v>
      </c>
    </row>
    <row r="15" spans="1:19" ht="14.25" customHeight="1" x14ac:dyDescent="0.2">
      <c r="A15" s="4"/>
      <c r="B15" s="8"/>
      <c r="C15" s="7"/>
      <c r="D15" s="435"/>
      <c r="E15" s="7"/>
      <c r="F15" s="8"/>
      <c r="G15" s="10"/>
      <c r="H15" s="18"/>
      <c r="I15" s="19"/>
      <c r="J15" s="19"/>
      <c r="K15" s="25" t="s">
        <v>37</v>
      </c>
      <c r="L15" s="22" t="s">
        <v>96</v>
      </c>
      <c r="M15" s="24" t="s">
        <v>112</v>
      </c>
      <c r="N15" s="24">
        <v>4</v>
      </c>
      <c r="O15" s="24">
        <v>4</v>
      </c>
      <c r="P15" s="23">
        <f t="shared" si="0"/>
        <v>4</v>
      </c>
      <c r="Q15" s="23">
        <v>9</v>
      </c>
      <c r="R15" s="23" t="s">
        <v>511</v>
      </c>
      <c r="S15" s="23" t="s">
        <v>44</v>
      </c>
    </row>
    <row r="16" spans="1:19" ht="14.25" customHeight="1" x14ac:dyDescent="0.2">
      <c r="A16" s="4"/>
      <c r="B16" s="8"/>
      <c r="C16" s="7"/>
      <c r="D16" s="435"/>
      <c r="E16" s="7"/>
      <c r="F16" s="8"/>
      <c r="G16" s="10"/>
      <c r="H16" s="18"/>
      <c r="I16" s="19"/>
      <c r="J16" s="19"/>
      <c r="K16" s="25" t="s">
        <v>40</v>
      </c>
      <c r="L16" s="22" t="s">
        <v>38</v>
      </c>
      <c r="M16" s="24" t="s">
        <v>97</v>
      </c>
      <c r="N16" s="24">
        <v>35</v>
      </c>
      <c r="O16" s="24">
        <f t="shared" ref="O16:O25" si="1">N16*1</f>
        <v>35</v>
      </c>
      <c r="P16" s="23">
        <f t="shared" si="0"/>
        <v>35</v>
      </c>
      <c r="Q16" s="23">
        <v>35</v>
      </c>
      <c r="R16" s="23" t="s">
        <v>533</v>
      </c>
      <c r="S16" s="23" t="s">
        <v>44</v>
      </c>
    </row>
    <row r="17" spans="1:19" ht="14.25" customHeight="1" x14ac:dyDescent="0.2">
      <c r="A17" s="4"/>
      <c r="B17" s="8"/>
      <c r="C17" s="7"/>
      <c r="D17" s="435"/>
      <c r="E17" s="7"/>
      <c r="F17" s="8"/>
      <c r="G17" s="10"/>
      <c r="H17" s="18"/>
      <c r="I17" s="19"/>
      <c r="J17" s="19"/>
      <c r="K17" s="25" t="s">
        <v>51</v>
      </c>
      <c r="L17" s="22" t="s">
        <v>90</v>
      </c>
      <c r="M17" s="24" t="s">
        <v>42</v>
      </c>
      <c r="N17" s="24">
        <v>35</v>
      </c>
      <c r="O17" s="24">
        <f t="shared" si="1"/>
        <v>35</v>
      </c>
      <c r="P17" s="23">
        <f t="shared" si="0"/>
        <v>35</v>
      </c>
      <c r="Q17" s="23">
        <v>35</v>
      </c>
      <c r="R17" s="23" t="s">
        <v>533</v>
      </c>
      <c r="S17" s="23" t="s">
        <v>44</v>
      </c>
    </row>
    <row r="18" spans="1:19" ht="14.25" customHeight="1" x14ac:dyDescent="0.2">
      <c r="A18" s="4"/>
      <c r="B18" s="8"/>
      <c r="C18" s="7"/>
      <c r="D18" s="435"/>
      <c r="E18" s="7"/>
      <c r="F18" s="8"/>
      <c r="G18" s="10"/>
      <c r="H18" s="18"/>
      <c r="I18" s="19"/>
      <c r="J18" s="19"/>
      <c r="K18" s="25" t="s">
        <v>52</v>
      </c>
      <c r="L18" s="22" t="s">
        <v>98</v>
      </c>
      <c r="M18" s="24" t="s">
        <v>76</v>
      </c>
      <c r="N18" s="24">
        <v>1</v>
      </c>
      <c r="O18" s="24">
        <f t="shared" si="1"/>
        <v>1</v>
      </c>
      <c r="P18" s="23">
        <f t="shared" si="0"/>
        <v>1</v>
      </c>
      <c r="Q18" s="23">
        <v>1</v>
      </c>
      <c r="R18" s="23" t="s">
        <v>533</v>
      </c>
      <c r="S18" s="23" t="s">
        <v>44</v>
      </c>
    </row>
    <row r="19" spans="1:19" ht="14.25" customHeight="1" x14ac:dyDescent="0.2">
      <c r="A19" s="4"/>
      <c r="B19" s="8"/>
      <c r="C19" s="7"/>
      <c r="D19" s="435"/>
      <c r="E19" s="7"/>
      <c r="F19" s="8"/>
      <c r="G19" s="10"/>
      <c r="H19" s="18"/>
      <c r="I19" s="19"/>
      <c r="J19" s="19"/>
      <c r="K19" s="25" t="s">
        <v>53</v>
      </c>
      <c r="L19" s="22" t="s">
        <v>38</v>
      </c>
      <c r="M19" s="23" t="s">
        <v>86</v>
      </c>
      <c r="N19" s="23">
        <v>64</v>
      </c>
      <c r="O19" s="23">
        <f t="shared" si="1"/>
        <v>64</v>
      </c>
      <c r="P19" s="23">
        <f t="shared" si="0"/>
        <v>64</v>
      </c>
      <c r="Q19" s="23">
        <v>64</v>
      </c>
      <c r="R19" s="23" t="s">
        <v>533</v>
      </c>
      <c r="S19" s="23" t="s">
        <v>44</v>
      </c>
    </row>
    <row r="20" spans="1:19" ht="14.25" customHeight="1" x14ac:dyDescent="0.2">
      <c r="A20" s="4"/>
      <c r="B20" s="8"/>
      <c r="C20" s="7"/>
      <c r="D20" s="435"/>
      <c r="E20" s="7"/>
      <c r="F20" s="8"/>
      <c r="G20" s="10"/>
      <c r="H20" s="18"/>
      <c r="I20" s="19"/>
      <c r="J20" s="19"/>
      <c r="K20" s="25" t="s">
        <v>57</v>
      </c>
      <c r="L20" s="22" t="s">
        <v>99</v>
      </c>
      <c r="M20" s="23" t="s">
        <v>85</v>
      </c>
      <c r="N20" s="23">
        <v>64</v>
      </c>
      <c r="O20" s="23">
        <f t="shared" si="1"/>
        <v>64</v>
      </c>
      <c r="P20" s="23">
        <f t="shared" si="0"/>
        <v>64</v>
      </c>
      <c r="Q20" s="23">
        <v>64</v>
      </c>
      <c r="R20" s="23" t="s">
        <v>533</v>
      </c>
      <c r="S20" s="23" t="s">
        <v>44</v>
      </c>
    </row>
    <row r="21" spans="1:19" ht="14.25" customHeight="1" x14ac:dyDescent="0.2">
      <c r="A21" s="4"/>
      <c r="B21" s="8"/>
      <c r="C21" s="7"/>
      <c r="D21" s="435"/>
      <c r="E21" s="7"/>
      <c r="F21" s="8"/>
      <c r="G21" s="10"/>
      <c r="H21" s="18"/>
      <c r="I21" s="19"/>
      <c r="J21" s="19"/>
      <c r="K21" s="25" t="s">
        <v>58</v>
      </c>
      <c r="L21" s="22" t="s">
        <v>38</v>
      </c>
      <c r="M21" s="23" t="s">
        <v>100</v>
      </c>
      <c r="N21" s="23">
        <v>20</v>
      </c>
      <c r="O21" s="23">
        <f t="shared" si="1"/>
        <v>20</v>
      </c>
      <c r="P21" s="23">
        <f t="shared" si="0"/>
        <v>20</v>
      </c>
      <c r="Q21" s="23">
        <v>20</v>
      </c>
      <c r="R21" s="23" t="s">
        <v>533</v>
      </c>
      <c r="S21" s="23" t="s">
        <v>44</v>
      </c>
    </row>
    <row r="22" spans="1:19" x14ac:dyDescent="0.2">
      <c r="A22" s="4"/>
      <c r="B22" s="8"/>
      <c r="C22" s="7"/>
      <c r="D22" s="435"/>
      <c r="E22" s="7"/>
      <c r="F22" s="8"/>
      <c r="G22" s="10"/>
      <c r="H22" s="18"/>
      <c r="I22" s="19"/>
      <c r="J22" s="19"/>
      <c r="K22" s="25" t="s">
        <v>65</v>
      </c>
      <c r="L22" s="22" t="s">
        <v>38</v>
      </c>
      <c r="M22" s="23" t="s">
        <v>97</v>
      </c>
      <c r="N22" s="23">
        <v>35</v>
      </c>
      <c r="O22" s="23">
        <f t="shared" si="1"/>
        <v>35</v>
      </c>
      <c r="P22" s="23">
        <f t="shared" si="0"/>
        <v>35</v>
      </c>
      <c r="Q22" s="23">
        <v>35</v>
      </c>
      <c r="R22" s="23" t="s">
        <v>533</v>
      </c>
      <c r="S22" s="23" t="s">
        <v>44</v>
      </c>
    </row>
    <row r="23" spans="1:19" x14ac:dyDescent="0.2">
      <c r="A23" s="4"/>
      <c r="B23" s="8"/>
      <c r="C23" s="7"/>
      <c r="D23" s="435"/>
      <c r="E23" s="7"/>
      <c r="F23" s="8"/>
      <c r="G23" s="10"/>
      <c r="H23" s="18"/>
      <c r="I23" s="19"/>
      <c r="J23" s="19"/>
      <c r="K23" s="25" t="s">
        <v>66</v>
      </c>
      <c r="L23" s="22" t="s">
        <v>99</v>
      </c>
      <c r="M23" s="23" t="s">
        <v>42</v>
      </c>
      <c r="N23" s="23">
        <v>35</v>
      </c>
      <c r="O23" s="23">
        <f t="shared" si="1"/>
        <v>35</v>
      </c>
      <c r="P23" s="23">
        <f t="shared" si="0"/>
        <v>35</v>
      </c>
      <c r="Q23" s="23">
        <v>35</v>
      </c>
      <c r="R23" s="23" t="s">
        <v>533</v>
      </c>
      <c r="S23" s="23" t="s">
        <v>44</v>
      </c>
    </row>
    <row r="24" spans="1:19" x14ac:dyDescent="0.2">
      <c r="A24" s="4"/>
      <c r="B24" s="8"/>
      <c r="C24" s="7"/>
      <c r="D24" s="435"/>
      <c r="E24" s="7"/>
      <c r="F24" s="8"/>
      <c r="G24" s="10"/>
      <c r="H24" s="18"/>
      <c r="I24" s="19"/>
      <c r="J24" s="19"/>
      <c r="K24" s="25" t="s">
        <v>67</v>
      </c>
      <c r="L24" s="22" t="s">
        <v>101</v>
      </c>
      <c r="M24" s="23" t="s">
        <v>25</v>
      </c>
      <c r="N24" s="23">
        <v>30</v>
      </c>
      <c r="O24" s="23">
        <f t="shared" si="1"/>
        <v>30</v>
      </c>
      <c r="P24" s="23">
        <f t="shared" si="0"/>
        <v>30</v>
      </c>
      <c r="Q24" s="23">
        <v>30</v>
      </c>
      <c r="R24" s="23" t="s">
        <v>533</v>
      </c>
      <c r="S24" s="23" t="s">
        <v>44</v>
      </c>
    </row>
    <row r="25" spans="1:19" x14ac:dyDescent="0.2">
      <c r="A25" s="4"/>
      <c r="B25" s="8"/>
      <c r="C25" s="7"/>
      <c r="D25" s="436"/>
      <c r="E25" s="7"/>
      <c r="F25" s="8"/>
      <c r="G25" s="10"/>
      <c r="H25" s="18"/>
      <c r="I25" s="19"/>
      <c r="J25" s="19"/>
      <c r="K25" s="25" t="s">
        <v>68</v>
      </c>
      <c r="L25" s="22" t="s">
        <v>84</v>
      </c>
      <c r="M25" s="23" t="s">
        <v>102</v>
      </c>
      <c r="N25" s="23">
        <v>30</v>
      </c>
      <c r="O25" s="23">
        <f t="shared" si="1"/>
        <v>30</v>
      </c>
      <c r="P25" s="23">
        <f t="shared" si="0"/>
        <v>30</v>
      </c>
      <c r="Q25" s="23">
        <v>30</v>
      </c>
      <c r="R25" s="23" t="s">
        <v>533</v>
      </c>
      <c r="S25" s="23" t="s">
        <v>44</v>
      </c>
    </row>
    <row r="38" spans="1:19" ht="19.5" x14ac:dyDescent="0.2">
      <c r="A38" s="276" t="s">
        <v>0</v>
      </c>
      <c r="B38" s="277"/>
      <c r="C38" s="11"/>
      <c r="D38" s="12"/>
      <c r="E38" s="12" t="s">
        <v>14</v>
      </c>
      <c r="F38" s="13"/>
      <c r="G38" s="12"/>
      <c r="H38" s="12" t="s">
        <v>13</v>
      </c>
      <c r="I38" s="12"/>
      <c r="J38" s="13"/>
      <c r="K38" s="11"/>
      <c r="L38" s="12"/>
      <c r="M38" s="6" t="s">
        <v>1</v>
      </c>
      <c r="N38" s="12"/>
      <c r="O38" s="12"/>
      <c r="P38" s="12"/>
      <c r="Q38" s="21"/>
      <c r="R38" s="21"/>
      <c r="S38" s="17" t="s">
        <v>15</v>
      </c>
    </row>
    <row r="39" spans="1:19" ht="45" x14ac:dyDescent="0.2">
      <c r="A39" s="29" t="s">
        <v>2</v>
      </c>
      <c r="B39" s="30" t="s">
        <v>3</v>
      </c>
      <c r="C39" s="30" t="s">
        <v>4</v>
      </c>
      <c r="D39" s="31" t="s">
        <v>5</v>
      </c>
      <c r="E39" s="30" t="s">
        <v>6</v>
      </c>
      <c r="F39" s="30" t="s">
        <v>3</v>
      </c>
      <c r="G39" s="30" t="s">
        <v>10</v>
      </c>
      <c r="H39" s="30" t="s">
        <v>5</v>
      </c>
      <c r="I39" s="30" t="s">
        <v>12</v>
      </c>
      <c r="J39" s="30" t="s">
        <v>11</v>
      </c>
      <c r="K39" s="32" t="s">
        <v>7</v>
      </c>
      <c r="L39" s="31" t="s">
        <v>5</v>
      </c>
      <c r="M39" s="31" t="s">
        <v>9</v>
      </c>
      <c r="N39" s="30" t="s">
        <v>8</v>
      </c>
      <c r="O39" s="30" t="s">
        <v>6</v>
      </c>
      <c r="P39" s="30" t="s">
        <v>3</v>
      </c>
      <c r="Q39" s="30" t="s">
        <v>17</v>
      </c>
      <c r="R39" s="30" t="s">
        <v>18</v>
      </c>
      <c r="S39" s="31" t="s">
        <v>16</v>
      </c>
    </row>
    <row r="40" spans="1:19" x14ac:dyDescent="0.2">
      <c r="A40" s="9"/>
      <c r="B40" s="24">
        <v>1</v>
      </c>
      <c r="C40" s="9"/>
      <c r="D40" s="24" t="s">
        <v>113</v>
      </c>
      <c r="E40" s="7"/>
      <c r="F40" s="8"/>
      <c r="G40" s="10"/>
      <c r="H40" s="18"/>
      <c r="I40" s="19"/>
      <c r="J40" s="19"/>
      <c r="K40" s="25" t="s">
        <v>69</v>
      </c>
      <c r="L40" s="28" t="s">
        <v>103</v>
      </c>
      <c r="M40" s="33" t="s">
        <v>114</v>
      </c>
      <c r="N40" s="33">
        <v>115</v>
      </c>
      <c r="O40" s="33">
        <f t="shared" ref="O40:O45" si="2">N40*1</f>
        <v>115</v>
      </c>
      <c r="P40" s="34">
        <f t="shared" ref="P40:P45" si="3">N40*1</f>
        <v>115</v>
      </c>
      <c r="Q40" s="23">
        <v>115</v>
      </c>
      <c r="R40" s="23" t="s">
        <v>533</v>
      </c>
      <c r="S40" s="23" t="s">
        <v>44</v>
      </c>
    </row>
    <row r="41" spans="1:19" x14ac:dyDescent="0.2">
      <c r="A41" s="4"/>
      <c r="B41" s="8"/>
      <c r="C41" s="7"/>
      <c r="D41" s="7"/>
      <c r="E41" s="7"/>
      <c r="F41" s="8"/>
      <c r="G41" s="10"/>
      <c r="H41" s="18"/>
      <c r="I41" s="19"/>
      <c r="J41" s="19"/>
      <c r="K41" s="25" t="s">
        <v>70</v>
      </c>
      <c r="L41" s="7" t="s">
        <v>104</v>
      </c>
      <c r="M41" s="24" t="s">
        <v>44</v>
      </c>
      <c r="N41" s="33">
        <v>96</v>
      </c>
      <c r="O41" s="24">
        <f t="shared" si="2"/>
        <v>96</v>
      </c>
      <c r="P41" s="23">
        <f t="shared" si="3"/>
        <v>96</v>
      </c>
      <c r="Q41" s="23">
        <v>96</v>
      </c>
      <c r="R41" s="23" t="s">
        <v>533</v>
      </c>
      <c r="S41" s="23" t="s">
        <v>44</v>
      </c>
    </row>
    <row r="42" spans="1:19" x14ac:dyDescent="0.2">
      <c r="A42" s="8"/>
      <c r="B42" s="8"/>
      <c r="C42" s="8"/>
      <c r="D42" s="8"/>
      <c r="E42" s="8"/>
      <c r="F42" s="8"/>
      <c r="G42" s="10"/>
      <c r="H42" s="18"/>
      <c r="I42" s="19"/>
      <c r="J42" s="19"/>
      <c r="K42" s="25" t="s">
        <v>77</v>
      </c>
      <c r="L42" s="7" t="s">
        <v>90</v>
      </c>
      <c r="M42" s="24" t="s">
        <v>105</v>
      </c>
      <c r="N42" s="33">
        <v>96</v>
      </c>
      <c r="O42" s="24">
        <f t="shared" si="2"/>
        <v>96</v>
      </c>
      <c r="P42" s="23">
        <f t="shared" si="3"/>
        <v>96</v>
      </c>
      <c r="Q42" s="23">
        <v>96</v>
      </c>
      <c r="R42" s="23" t="s">
        <v>533</v>
      </c>
      <c r="S42" s="23" t="s">
        <v>44</v>
      </c>
    </row>
    <row r="43" spans="1:19" x14ac:dyDescent="0.2">
      <c r="A43" s="4"/>
      <c r="B43" s="8"/>
      <c r="C43" s="7"/>
      <c r="D43" s="7"/>
      <c r="E43" s="7"/>
      <c r="F43" s="8"/>
      <c r="G43" s="10"/>
      <c r="H43" s="18"/>
      <c r="I43" s="19"/>
      <c r="J43" s="19"/>
      <c r="K43" s="25" t="s">
        <v>78</v>
      </c>
      <c r="L43" s="7" t="s">
        <v>106</v>
      </c>
      <c r="M43" s="24">
        <v>304</v>
      </c>
      <c r="N43" s="33">
        <v>96</v>
      </c>
      <c r="O43" s="24">
        <f t="shared" si="2"/>
        <v>96</v>
      </c>
      <c r="P43" s="23">
        <f t="shared" si="3"/>
        <v>96</v>
      </c>
      <c r="Q43" s="23">
        <v>96</v>
      </c>
      <c r="R43" s="23" t="s">
        <v>533</v>
      </c>
      <c r="S43" s="23" t="s">
        <v>44</v>
      </c>
    </row>
    <row r="44" spans="1:19" x14ac:dyDescent="0.2">
      <c r="A44" s="4"/>
      <c r="B44" s="8"/>
      <c r="C44" s="7"/>
      <c r="D44" s="7"/>
      <c r="E44" s="7"/>
      <c r="F44" s="8"/>
      <c r="G44" s="10"/>
      <c r="H44" s="18"/>
      <c r="I44" s="19"/>
      <c r="J44" s="19"/>
      <c r="K44" s="25" t="s">
        <v>79</v>
      </c>
      <c r="L44" s="7" t="s">
        <v>107</v>
      </c>
      <c r="M44" s="24" t="s">
        <v>44</v>
      </c>
      <c r="N44" s="33">
        <v>1272</v>
      </c>
      <c r="O44" s="24">
        <f t="shared" si="2"/>
        <v>1272</v>
      </c>
      <c r="P44" s="23">
        <f t="shared" si="3"/>
        <v>1272</v>
      </c>
      <c r="Q44" s="23">
        <v>1272</v>
      </c>
      <c r="R44" s="23" t="s">
        <v>533</v>
      </c>
      <c r="S44" s="23" t="s">
        <v>44</v>
      </c>
    </row>
    <row r="45" spans="1:19" x14ac:dyDescent="0.2">
      <c r="A45" s="4"/>
      <c r="B45" s="8"/>
      <c r="C45" s="7"/>
      <c r="D45" s="7"/>
      <c r="E45" s="7"/>
      <c r="F45" s="8"/>
      <c r="G45" s="10"/>
      <c r="H45" s="18"/>
      <c r="I45" s="19"/>
      <c r="J45" s="19"/>
      <c r="K45" s="25" t="s">
        <v>80</v>
      </c>
      <c r="L45" s="7" t="s">
        <v>108</v>
      </c>
      <c r="M45" s="24" t="s">
        <v>44</v>
      </c>
      <c r="N45" s="33">
        <v>108</v>
      </c>
      <c r="O45" s="24">
        <f t="shared" si="2"/>
        <v>108</v>
      </c>
      <c r="P45" s="23">
        <f t="shared" si="3"/>
        <v>108</v>
      </c>
      <c r="Q45" s="23">
        <v>108</v>
      </c>
      <c r="R45" s="23" t="s">
        <v>533</v>
      </c>
      <c r="S45" s="23" t="s">
        <v>44</v>
      </c>
    </row>
  </sheetData>
  <mergeCells count="11">
    <mergeCell ref="A6:B6"/>
    <mergeCell ref="A38:B38"/>
    <mergeCell ref="J8:J11"/>
    <mergeCell ref="I8:I11"/>
    <mergeCell ref="H8:H11"/>
    <mergeCell ref="G8:G11"/>
    <mergeCell ref="J12:J13"/>
    <mergeCell ref="G12:G13"/>
    <mergeCell ref="H12:H13"/>
    <mergeCell ref="I12:I13"/>
    <mergeCell ref="D8:D25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4:S22"/>
  <sheetViews>
    <sheetView view="pageLayout" topLeftCell="A4" zoomScale="115" zoomScaleNormal="100" zoomScalePageLayoutView="115" workbookViewId="0">
      <selection activeCell="Q22" sqref="Q22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5.25" customHeight="1" x14ac:dyDescent="0.2"/>
    <row r="6" spans="1:19" ht="19.5" x14ac:dyDescent="0.2">
      <c r="A6" s="276" t="s">
        <v>0</v>
      </c>
      <c r="B6" s="277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9.15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1</v>
      </c>
      <c r="C8" s="9"/>
      <c r="D8" s="24" t="s">
        <v>43</v>
      </c>
      <c r="E8" s="7"/>
      <c r="F8" s="8"/>
      <c r="G8" s="10"/>
      <c r="H8" s="18"/>
      <c r="I8" s="19"/>
      <c r="J8" s="19"/>
      <c r="K8" s="25" t="s">
        <v>19</v>
      </c>
      <c r="L8" s="22" t="s">
        <v>20</v>
      </c>
      <c r="M8" s="24" t="s">
        <v>683</v>
      </c>
      <c r="N8" s="24">
        <v>2</v>
      </c>
      <c r="O8" s="24">
        <v>2</v>
      </c>
      <c r="P8" s="23">
        <v>2</v>
      </c>
      <c r="Q8" s="23">
        <v>5</v>
      </c>
      <c r="R8" s="23" t="s">
        <v>511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10"/>
      <c r="H9" s="18"/>
      <c r="I9" s="19"/>
      <c r="J9" s="19"/>
      <c r="K9" s="25" t="s">
        <v>21</v>
      </c>
      <c r="L9" s="22" t="s">
        <v>22</v>
      </c>
      <c r="M9" s="24" t="s">
        <v>684</v>
      </c>
      <c r="N9" s="24">
        <v>6</v>
      </c>
      <c r="O9" s="24">
        <v>6</v>
      </c>
      <c r="P9" s="23">
        <v>6</v>
      </c>
      <c r="Q9" s="23">
        <v>12</v>
      </c>
      <c r="R9" s="23" t="s">
        <v>511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10"/>
      <c r="H10" s="18"/>
      <c r="I10" s="19"/>
      <c r="J10" s="19"/>
      <c r="K10" s="25" t="s">
        <v>23</v>
      </c>
      <c r="L10" s="22" t="s">
        <v>24</v>
      </c>
      <c r="M10" s="24" t="s">
        <v>25</v>
      </c>
      <c r="N10" s="24">
        <v>30</v>
      </c>
      <c r="O10" s="24">
        <v>30</v>
      </c>
      <c r="P10" s="23">
        <v>30</v>
      </c>
      <c r="Q10" s="23">
        <v>30</v>
      </c>
      <c r="R10" s="23" t="s">
        <v>533</v>
      </c>
      <c r="S10" s="23" t="s">
        <v>44</v>
      </c>
    </row>
    <row r="11" spans="1:19" ht="14.25" customHeight="1" x14ac:dyDescent="0.2">
      <c r="A11" s="4"/>
      <c r="B11" s="8"/>
      <c r="C11" s="7"/>
      <c r="D11" s="7"/>
      <c r="E11" s="7"/>
      <c r="F11" s="8"/>
      <c r="G11" s="10"/>
      <c r="H11" s="18"/>
      <c r="I11" s="19"/>
      <c r="J11" s="19"/>
      <c r="K11" s="25" t="s">
        <v>26</v>
      </c>
      <c r="L11" s="22" t="s">
        <v>27</v>
      </c>
      <c r="M11" s="24" t="s">
        <v>28</v>
      </c>
      <c r="N11" s="24">
        <v>30</v>
      </c>
      <c r="O11" s="24">
        <v>30</v>
      </c>
      <c r="P11" s="23">
        <v>30</v>
      </c>
      <c r="Q11" s="23">
        <v>30</v>
      </c>
      <c r="R11" s="23" t="s">
        <v>533</v>
      </c>
      <c r="S11" s="23" t="s">
        <v>44</v>
      </c>
    </row>
    <row r="12" spans="1:19" ht="14.25" customHeight="1" x14ac:dyDescent="0.2">
      <c r="A12" s="4"/>
      <c r="B12" s="8"/>
      <c r="C12" s="7"/>
      <c r="D12" s="7"/>
      <c r="E12" s="7"/>
      <c r="F12" s="8"/>
      <c r="G12" s="10"/>
      <c r="H12" s="18"/>
      <c r="I12" s="19"/>
      <c r="J12" s="19"/>
      <c r="K12" s="25" t="s">
        <v>29</v>
      </c>
      <c r="L12" s="22" t="s">
        <v>30</v>
      </c>
      <c r="M12" s="24" t="s">
        <v>31</v>
      </c>
      <c r="N12" s="24">
        <v>36</v>
      </c>
      <c r="O12" s="24">
        <v>36</v>
      </c>
      <c r="P12" s="23">
        <v>36</v>
      </c>
      <c r="Q12" s="23">
        <v>36</v>
      </c>
      <c r="R12" s="23" t="s">
        <v>533</v>
      </c>
      <c r="S12" s="23" t="s">
        <v>44</v>
      </c>
    </row>
    <row r="13" spans="1:19" ht="14.25" customHeight="1" x14ac:dyDescent="0.2">
      <c r="A13" s="4"/>
      <c r="B13" s="8"/>
      <c r="C13" s="7"/>
      <c r="D13" s="7"/>
      <c r="E13" s="7"/>
      <c r="F13" s="8"/>
      <c r="G13" s="10"/>
      <c r="H13" s="18"/>
      <c r="I13" s="19"/>
      <c r="J13" s="19"/>
      <c r="K13" s="25" t="s">
        <v>32</v>
      </c>
      <c r="L13" s="22" t="s">
        <v>33</v>
      </c>
      <c r="M13" s="26" t="s">
        <v>34</v>
      </c>
      <c r="N13" s="24">
        <v>36</v>
      </c>
      <c r="O13" s="24">
        <v>36</v>
      </c>
      <c r="P13" s="23">
        <v>36</v>
      </c>
      <c r="Q13" s="23">
        <v>36</v>
      </c>
      <c r="R13" s="23" t="s">
        <v>533</v>
      </c>
      <c r="S13" s="23" t="s">
        <v>44</v>
      </c>
    </row>
    <row r="14" spans="1:19" ht="14.25" customHeight="1" x14ac:dyDescent="0.2">
      <c r="A14" s="4"/>
      <c r="B14" s="8"/>
      <c r="C14" s="7"/>
      <c r="D14" s="7"/>
      <c r="E14" s="7"/>
      <c r="F14" s="8"/>
      <c r="G14" s="10"/>
      <c r="H14" s="18"/>
      <c r="I14" s="19"/>
      <c r="J14" s="19"/>
      <c r="K14" s="25" t="s">
        <v>35</v>
      </c>
      <c r="L14" s="22" t="s">
        <v>36</v>
      </c>
      <c r="M14" s="26" t="s">
        <v>34</v>
      </c>
      <c r="N14" s="24">
        <v>36</v>
      </c>
      <c r="O14" s="24">
        <v>36</v>
      </c>
      <c r="P14" s="23">
        <v>36</v>
      </c>
      <c r="Q14" s="23">
        <v>36</v>
      </c>
      <c r="R14" s="23" t="s">
        <v>533</v>
      </c>
      <c r="S14" s="23" t="s">
        <v>44</v>
      </c>
    </row>
    <row r="15" spans="1:19" ht="14.25" customHeight="1" x14ac:dyDescent="0.2">
      <c r="A15" s="4"/>
      <c r="B15" s="8"/>
      <c r="C15" s="7"/>
      <c r="D15" s="7"/>
      <c r="E15" s="7"/>
      <c r="F15" s="8"/>
      <c r="G15" s="10"/>
      <c r="H15" s="18"/>
      <c r="I15" s="19"/>
      <c r="J15" s="19"/>
      <c r="K15" s="25" t="s">
        <v>37</v>
      </c>
      <c r="L15" s="22" t="s">
        <v>38</v>
      </c>
      <c r="M15" s="24" t="s">
        <v>39</v>
      </c>
      <c r="N15" s="24">
        <v>36</v>
      </c>
      <c r="O15" s="24">
        <v>36</v>
      </c>
      <c r="P15" s="23">
        <v>36</v>
      </c>
      <c r="Q15" s="23">
        <v>36</v>
      </c>
      <c r="R15" s="23" t="s">
        <v>533</v>
      </c>
      <c r="S15" s="23" t="s">
        <v>44</v>
      </c>
    </row>
    <row r="16" spans="1:19" ht="14.25" customHeight="1" x14ac:dyDescent="0.2">
      <c r="A16" s="4"/>
      <c r="B16" s="8"/>
      <c r="C16" s="7"/>
      <c r="D16" s="7"/>
      <c r="E16" s="7"/>
      <c r="F16" s="8"/>
      <c r="G16" s="10"/>
      <c r="H16" s="18"/>
      <c r="I16" s="19"/>
      <c r="J16" s="19"/>
      <c r="K16" s="25" t="s">
        <v>40</v>
      </c>
      <c r="L16" s="22" t="s">
        <v>41</v>
      </c>
      <c r="M16" s="24" t="s">
        <v>42</v>
      </c>
      <c r="N16" s="24">
        <v>36</v>
      </c>
      <c r="O16" s="24">
        <v>36</v>
      </c>
      <c r="P16" s="23">
        <v>36</v>
      </c>
      <c r="Q16" s="23">
        <v>36</v>
      </c>
      <c r="R16" s="23" t="s">
        <v>533</v>
      </c>
      <c r="S16" s="23" t="s">
        <v>44</v>
      </c>
    </row>
    <row r="17" spans="1:19" ht="14.25" customHeight="1" x14ac:dyDescent="0.2">
      <c r="A17" s="4"/>
      <c r="B17" s="8"/>
      <c r="C17" s="7"/>
      <c r="D17" s="7"/>
      <c r="E17" s="7"/>
      <c r="F17" s="8"/>
      <c r="G17" s="10"/>
      <c r="H17" s="18"/>
      <c r="I17" s="19"/>
      <c r="J17" s="19"/>
      <c r="K17" s="25" t="s">
        <v>51</v>
      </c>
      <c r="L17" s="22" t="s">
        <v>59</v>
      </c>
      <c r="M17" s="24" t="s">
        <v>685</v>
      </c>
      <c r="N17" s="24">
        <v>2</v>
      </c>
      <c r="O17" s="24">
        <v>2</v>
      </c>
      <c r="P17" s="24">
        <v>2</v>
      </c>
      <c r="Q17" s="23">
        <v>1.5</v>
      </c>
      <c r="R17" s="23" t="s">
        <v>511</v>
      </c>
      <c r="S17" s="23" t="s">
        <v>44</v>
      </c>
    </row>
    <row r="18" spans="1:19" ht="14.25" customHeight="1" x14ac:dyDescent="0.2">
      <c r="A18" s="4"/>
      <c r="B18" s="8"/>
      <c r="C18" s="7"/>
      <c r="D18" s="7"/>
      <c r="E18" s="7"/>
      <c r="F18" s="8"/>
      <c r="G18" s="10"/>
      <c r="H18" s="18"/>
      <c r="I18" s="19"/>
      <c r="J18" s="19"/>
      <c r="K18" s="25" t="s">
        <v>52</v>
      </c>
      <c r="L18" s="22" t="s">
        <v>60</v>
      </c>
      <c r="M18" s="24" t="s">
        <v>686</v>
      </c>
      <c r="N18" s="24">
        <v>2</v>
      </c>
      <c r="O18" s="24">
        <v>2</v>
      </c>
      <c r="P18" s="24">
        <v>2</v>
      </c>
      <c r="Q18" s="23">
        <v>2</v>
      </c>
      <c r="R18" s="23" t="s">
        <v>511</v>
      </c>
      <c r="S18" s="23" t="s">
        <v>44</v>
      </c>
    </row>
    <row r="19" spans="1:19" ht="14.25" customHeight="1" x14ac:dyDescent="0.2">
      <c r="A19" s="4"/>
      <c r="B19" s="8"/>
      <c r="C19" s="7"/>
      <c r="D19" s="7"/>
      <c r="E19" s="7"/>
      <c r="F19" s="8"/>
      <c r="G19" s="10"/>
      <c r="H19" s="18"/>
      <c r="I19" s="19"/>
      <c r="J19" s="19"/>
      <c r="K19" s="25" t="s">
        <v>53</v>
      </c>
      <c r="L19" s="22" t="s">
        <v>61</v>
      </c>
      <c r="M19" s="24" t="s">
        <v>685</v>
      </c>
      <c r="N19" s="24">
        <v>2</v>
      </c>
      <c r="O19" s="24">
        <v>2</v>
      </c>
      <c r="P19" s="24">
        <v>2</v>
      </c>
      <c r="Q19" s="23">
        <v>1.5</v>
      </c>
      <c r="R19" s="23" t="s">
        <v>511</v>
      </c>
      <c r="S19" s="23" t="s">
        <v>44</v>
      </c>
    </row>
    <row r="20" spans="1:19" ht="14.25" customHeight="1" x14ac:dyDescent="0.2">
      <c r="A20" s="4"/>
      <c r="B20" s="8"/>
      <c r="C20" s="7"/>
      <c r="D20" s="7"/>
      <c r="E20" s="7"/>
      <c r="F20" s="8"/>
      <c r="G20" s="10"/>
      <c r="H20" s="18"/>
      <c r="I20" s="19"/>
      <c r="J20" s="19"/>
      <c r="K20" s="25" t="s">
        <v>57</v>
      </c>
      <c r="L20" s="22" t="s">
        <v>62</v>
      </c>
      <c r="M20" s="24" t="s">
        <v>686</v>
      </c>
      <c r="N20" s="24">
        <v>2</v>
      </c>
      <c r="O20" s="24">
        <v>2</v>
      </c>
      <c r="P20" s="24">
        <v>2</v>
      </c>
      <c r="Q20" s="23">
        <v>2</v>
      </c>
      <c r="R20" s="23" t="s">
        <v>511</v>
      </c>
      <c r="S20" s="23" t="s">
        <v>44</v>
      </c>
    </row>
    <row r="21" spans="1:19" ht="14.25" customHeight="1" x14ac:dyDescent="0.2">
      <c r="A21" s="4"/>
      <c r="B21" s="8"/>
      <c r="C21" s="7"/>
      <c r="D21" s="7"/>
      <c r="E21" s="7"/>
      <c r="F21" s="8"/>
      <c r="G21" s="10"/>
      <c r="H21" s="18"/>
      <c r="I21" s="19"/>
      <c r="J21" s="19"/>
      <c r="K21" s="25" t="s">
        <v>58</v>
      </c>
      <c r="L21" s="22" t="s">
        <v>63</v>
      </c>
      <c r="M21" s="24" t="s">
        <v>44</v>
      </c>
      <c r="N21" s="24">
        <v>2</v>
      </c>
      <c r="O21" s="24">
        <v>2</v>
      </c>
      <c r="P21" s="24">
        <v>2</v>
      </c>
      <c r="Q21" s="23">
        <v>2</v>
      </c>
      <c r="R21" s="23" t="s">
        <v>533</v>
      </c>
      <c r="S21" s="23" t="s">
        <v>44</v>
      </c>
    </row>
    <row r="22" spans="1:19" x14ac:dyDescent="0.2">
      <c r="I22" s="5"/>
      <c r="J22" s="5"/>
    </row>
  </sheetData>
  <mergeCells count="1">
    <mergeCell ref="A6:B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24"/>
  <sheetViews>
    <sheetView view="pageLayout" topLeftCell="B4" zoomScale="115" zoomScaleNormal="100" zoomScalePageLayoutView="115" workbookViewId="0">
      <selection activeCell="L10" sqref="L10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8.625" customWidth="1"/>
    <col min="5" max="5" width="5.875" customWidth="1"/>
    <col min="6" max="6" width="5.375" customWidth="1"/>
    <col min="7" max="7" width="5.125" customWidth="1"/>
    <col min="8" max="8" width="7.375" customWidth="1"/>
    <col min="9" max="9" width="5.625" customWidth="1"/>
    <col min="10" max="10" width="6" bestFit="1" customWidth="1"/>
    <col min="11" max="11" width="5.875" customWidth="1"/>
    <col min="12" max="12" width="17.375" bestFit="1" customWidth="1"/>
    <col min="13" max="13" width="10.375" customWidth="1"/>
    <col min="14" max="14" width="5.75" customWidth="1"/>
    <col min="15" max="15" width="5.625" customWidth="1"/>
    <col min="16" max="16" width="5.125" customWidth="1"/>
    <col min="17" max="18" width="8" customWidth="1"/>
  </cols>
  <sheetData>
    <row r="4" spans="1:17" ht="12" customHeight="1" x14ac:dyDescent="0.2"/>
    <row r="5" spans="1:17" ht="5.25" customHeight="1" x14ac:dyDescent="0.2"/>
    <row r="6" spans="1:17" ht="19.5" x14ac:dyDescent="0.2">
      <c r="A6" s="276" t="s">
        <v>0</v>
      </c>
      <c r="B6" s="277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17" t="s">
        <v>15</v>
      </c>
    </row>
    <row r="7" spans="1:17" ht="49.15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20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2" t="s">
        <v>16</v>
      </c>
    </row>
    <row r="8" spans="1:17" ht="14.25" customHeight="1" x14ac:dyDescent="0.2">
      <c r="A8" s="278" t="s">
        <v>388</v>
      </c>
      <c r="B8" s="300">
        <v>1</v>
      </c>
      <c r="C8" s="278" t="s">
        <v>260</v>
      </c>
      <c r="D8" s="309" t="s">
        <v>389</v>
      </c>
      <c r="E8" s="310">
        <v>1</v>
      </c>
      <c r="F8" s="300">
        <f>E8*B8</f>
        <v>1</v>
      </c>
      <c r="G8" s="278" t="s">
        <v>260</v>
      </c>
      <c r="H8" s="278" t="s">
        <v>390</v>
      </c>
      <c r="I8" s="308">
        <v>1</v>
      </c>
      <c r="J8" s="308">
        <f>I8*B8</f>
        <v>1</v>
      </c>
      <c r="K8" s="49" t="s">
        <v>19</v>
      </c>
      <c r="L8" s="211" t="s">
        <v>391</v>
      </c>
      <c r="M8" s="87" t="s">
        <v>392</v>
      </c>
      <c r="N8" s="88">
        <v>1</v>
      </c>
      <c r="O8" s="88">
        <f>N8*E8</f>
        <v>1</v>
      </c>
      <c r="P8" s="88">
        <f>O8*B$8</f>
        <v>1</v>
      </c>
      <c r="Q8" s="89"/>
    </row>
    <row r="9" spans="1:17" ht="14.25" customHeight="1" x14ac:dyDescent="0.2">
      <c r="A9" s="278"/>
      <c r="B9" s="300"/>
      <c r="C9" s="278"/>
      <c r="D9" s="309"/>
      <c r="E9" s="310"/>
      <c r="F9" s="300"/>
      <c r="G9" s="278"/>
      <c r="H9" s="278"/>
      <c r="I9" s="308"/>
      <c r="J9" s="308"/>
      <c r="K9" s="49" t="s">
        <v>21</v>
      </c>
      <c r="L9" s="211" t="s">
        <v>393</v>
      </c>
      <c r="M9" s="87" t="s">
        <v>394</v>
      </c>
      <c r="N9" s="88">
        <v>2</v>
      </c>
      <c r="O9" s="88">
        <f>N9*E8</f>
        <v>2</v>
      </c>
      <c r="P9" s="88">
        <f t="shared" ref="P9:P19" si="0">O9*B$8</f>
        <v>2</v>
      </c>
      <c r="Q9" s="89"/>
    </row>
    <row r="10" spans="1:17" ht="14.25" customHeight="1" x14ac:dyDescent="0.2">
      <c r="A10" s="278"/>
      <c r="B10" s="300"/>
      <c r="C10" s="278"/>
      <c r="D10" s="309"/>
      <c r="E10" s="310"/>
      <c r="F10" s="300"/>
      <c r="G10" s="278"/>
      <c r="H10" s="278"/>
      <c r="I10" s="308"/>
      <c r="J10" s="308"/>
      <c r="K10" s="49" t="s">
        <v>23</v>
      </c>
      <c r="L10" s="211" t="s">
        <v>395</v>
      </c>
      <c r="M10" s="87" t="s">
        <v>396</v>
      </c>
      <c r="N10" s="88">
        <v>1</v>
      </c>
      <c r="O10" s="88">
        <f>N10*E8</f>
        <v>1</v>
      </c>
      <c r="P10" s="88">
        <f t="shared" si="0"/>
        <v>1</v>
      </c>
      <c r="Q10" s="89"/>
    </row>
    <row r="11" spans="1:17" ht="14.25" customHeight="1" x14ac:dyDescent="0.2">
      <c r="A11" s="278"/>
      <c r="B11" s="300"/>
      <c r="C11" s="278"/>
      <c r="D11" s="309"/>
      <c r="E11" s="310"/>
      <c r="F11" s="300"/>
      <c r="G11" s="278"/>
      <c r="H11" s="278"/>
      <c r="I11" s="308"/>
      <c r="J11" s="308"/>
      <c r="K11" s="49" t="s">
        <v>26</v>
      </c>
      <c r="L11" s="211" t="s">
        <v>397</v>
      </c>
      <c r="M11" s="87" t="s">
        <v>398</v>
      </c>
      <c r="N11" s="88">
        <v>1</v>
      </c>
      <c r="O11" s="88">
        <f>N11*E8</f>
        <v>1</v>
      </c>
      <c r="P11" s="88">
        <f t="shared" si="0"/>
        <v>1</v>
      </c>
      <c r="Q11" s="89"/>
    </row>
    <row r="12" spans="1:17" ht="14.25" customHeight="1" x14ac:dyDescent="0.2">
      <c r="A12" s="278"/>
      <c r="B12" s="300"/>
      <c r="C12" s="278"/>
      <c r="D12" s="309"/>
      <c r="E12" s="310"/>
      <c r="F12" s="300"/>
      <c r="G12" s="278"/>
      <c r="H12" s="278"/>
      <c r="I12" s="308"/>
      <c r="J12" s="308"/>
      <c r="K12" s="49" t="s">
        <v>29</v>
      </c>
      <c r="L12" s="211" t="s">
        <v>399</v>
      </c>
      <c r="M12" s="87" t="s">
        <v>400</v>
      </c>
      <c r="N12" s="88">
        <v>2</v>
      </c>
      <c r="O12" s="88">
        <f>N12*E8</f>
        <v>2</v>
      </c>
      <c r="P12" s="88">
        <f t="shared" si="0"/>
        <v>2</v>
      </c>
      <c r="Q12" s="89"/>
    </row>
    <row r="13" spans="1:17" ht="14.25" customHeight="1" x14ac:dyDescent="0.2">
      <c r="A13" s="278"/>
      <c r="B13" s="300"/>
      <c r="C13" s="278"/>
      <c r="D13" s="309"/>
      <c r="E13" s="310"/>
      <c r="F13" s="300"/>
      <c r="G13" s="278"/>
      <c r="H13" s="278"/>
      <c r="I13" s="308"/>
      <c r="J13" s="308"/>
      <c r="K13" s="49" t="s">
        <v>32</v>
      </c>
      <c r="L13" s="211" t="s">
        <v>401</v>
      </c>
      <c r="M13" s="90" t="s">
        <v>400</v>
      </c>
      <c r="N13" s="88">
        <v>1</v>
      </c>
      <c r="O13" s="88">
        <f>N13*E8</f>
        <v>1</v>
      </c>
      <c r="P13" s="88">
        <f t="shared" si="0"/>
        <v>1</v>
      </c>
      <c r="Q13" s="89"/>
    </row>
    <row r="14" spans="1:17" ht="14.25" customHeight="1" x14ac:dyDescent="0.2">
      <c r="A14" s="278"/>
      <c r="B14" s="300"/>
      <c r="C14" s="278"/>
      <c r="D14" s="309"/>
      <c r="E14" s="310"/>
      <c r="F14" s="300"/>
      <c r="G14" s="278"/>
      <c r="H14" s="278"/>
      <c r="I14" s="308"/>
      <c r="J14" s="308"/>
      <c r="K14" s="49" t="s">
        <v>35</v>
      </c>
      <c r="L14" s="211" t="s">
        <v>402</v>
      </c>
      <c r="M14" s="87" t="s">
        <v>403</v>
      </c>
      <c r="N14" s="88">
        <v>1</v>
      </c>
      <c r="O14" s="88">
        <f>N14*E8</f>
        <v>1</v>
      </c>
      <c r="P14" s="88">
        <f t="shared" si="0"/>
        <v>1</v>
      </c>
      <c r="Q14" s="89"/>
    </row>
    <row r="15" spans="1:17" ht="14.25" customHeight="1" x14ac:dyDescent="0.2">
      <c r="A15" s="278"/>
      <c r="B15" s="300"/>
      <c r="C15" s="278"/>
      <c r="D15" s="309"/>
      <c r="E15" s="310"/>
      <c r="F15" s="300"/>
      <c r="G15" s="278"/>
      <c r="H15" s="278"/>
      <c r="I15" s="308"/>
      <c r="J15" s="308"/>
      <c r="K15" s="49" t="s">
        <v>37</v>
      </c>
      <c r="L15" s="211" t="s">
        <v>404</v>
      </c>
      <c r="M15" s="87" t="s">
        <v>405</v>
      </c>
      <c r="N15" s="88">
        <v>1</v>
      </c>
      <c r="O15" s="88">
        <f>N15*E8</f>
        <v>1</v>
      </c>
      <c r="P15" s="88">
        <f t="shared" si="0"/>
        <v>1</v>
      </c>
      <c r="Q15" s="89"/>
    </row>
    <row r="16" spans="1:17" ht="14.25" customHeight="1" x14ac:dyDescent="0.2">
      <c r="A16" s="278"/>
      <c r="B16" s="300"/>
      <c r="C16" s="278"/>
      <c r="D16" s="309"/>
      <c r="E16" s="310"/>
      <c r="F16" s="300"/>
      <c r="G16" s="278"/>
      <c r="H16" s="278"/>
      <c r="I16" s="308"/>
      <c r="J16" s="308"/>
      <c r="K16" s="49" t="s">
        <v>40</v>
      </c>
      <c r="L16" s="211" t="s">
        <v>406</v>
      </c>
      <c r="M16" s="87" t="s">
        <v>407</v>
      </c>
      <c r="N16" s="88">
        <v>2</v>
      </c>
      <c r="O16" s="88">
        <v>2</v>
      </c>
      <c r="P16" s="88">
        <f t="shared" si="0"/>
        <v>2</v>
      </c>
      <c r="Q16" s="91"/>
    </row>
    <row r="17" spans="1:17" ht="14.25" customHeight="1" x14ac:dyDescent="0.2">
      <c r="A17" s="278"/>
      <c r="B17" s="300"/>
      <c r="C17" s="278"/>
      <c r="D17" s="309"/>
      <c r="E17" s="310"/>
      <c r="F17" s="300"/>
      <c r="G17" s="278"/>
      <c r="H17" s="278"/>
      <c r="I17" s="308"/>
      <c r="J17" s="308"/>
      <c r="K17" s="49" t="s">
        <v>51</v>
      </c>
      <c r="L17" s="211" t="s">
        <v>408</v>
      </c>
      <c r="M17" s="87" t="s">
        <v>409</v>
      </c>
      <c r="N17" s="88">
        <v>4</v>
      </c>
      <c r="O17" s="88">
        <v>4</v>
      </c>
      <c r="P17" s="88">
        <f t="shared" si="0"/>
        <v>4</v>
      </c>
      <c r="Q17" s="89"/>
    </row>
    <row r="18" spans="1:17" ht="14.25" customHeight="1" x14ac:dyDescent="0.2">
      <c r="A18" s="278"/>
      <c r="B18" s="300"/>
      <c r="C18" s="278"/>
      <c r="D18" s="309"/>
      <c r="E18" s="310"/>
      <c r="F18" s="300"/>
      <c r="G18" s="278"/>
      <c r="H18" s="278"/>
      <c r="I18" s="308"/>
      <c r="J18" s="308"/>
      <c r="K18" s="49" t="s">
        <v>52</v>
      </c>
      <c r="L18" s="211" t="s">
        <v>410</v>
      </c>
      <c r="M18" s="92" t="s">
        <v>100</v>
      </c>
      <c r="N18" s="88">
        <v>16</v>
      </c>
      <c r="O18" s="88">
        <v>16</v>
      </c>
      <c r="P18" s="88">
        <f t="shared" si="0"/>
        <v>16</v>
      </c>
      <c r="Q18" s="89"/>
    </row>
    <row r="19" spans="1:17" ht="14.25" customHeight="1" x14ac:dyDescent="0.2">
      <c r="A19" s="278"/>
      <c r="B19" s="300"/>
      <c r="C19" s="278"/>
      <c r="D19" s="309"/>
      <c r="E19" s="310"/>
      <c r="F19" s="300"/>
      <c r="G19" s="278"/>
      <c r="H19" s="278"/>
      <c r="I19" s="308"/>
      <c r="J19" s="308"/>
      <c r="K19" s="49" t="s">
        <v>53</v>
      </c>
      <c r="L19" s="211" t="s">
        <v>411</v>
      </c>
      <c r="M19" s="92" t="s">
        <v>42</v>
      </c>
      <c r="N19" s="88">
        <v>16</v>
      </c>
      <c r="O19" s="88">
        <v>16</v>
      </c>
      <c r="P19" s="88">
        <f t="shared" si="0"/>
        <v>16</v>
      </c>
      <c r="Q19" s="89"/>
    </row>
    <row r="20" spans="1:17" x14ac:dyDescent="0.2">
      <c r="I20" s="5"/>
      <c r="J20" s="5"/>
    </row>
    <row r="37" spans="1:17" ht="5.25" customHeight="1" x14ac:dyDescent="0.2"/>
    <row r="38" spans="1:17" ht="19.5" x14ac:dyDescent="0.2">
      <c r="A38" s="276" t="s">
        <v>0</v>
      </c>
      <c r="B38" s="277"/>
      <c r="C38" s="11"/>
      <c r="D38" s="12"/>
      <c r="E38" s="12" t="s">
        <v>14</v>
      </c>
      <c r="F38" s="13"/>
      <c r="G38" s="12"/>
      <c r="H38" s="12" t="s">
        <v>13</v>
      </c>
      <c r="I38" s="12"/>
      <c r="J38" s="13"/>
      <c r="K38" s="11"/>
      <c r="L38" s="12"/>
      <c r="M38" s="6" t="s">
        <v>1</v>
      </c>
      <c r="N38" s="12"/>
      <c r="O38" s="12"/>
      <c r="P38" s="12"/>
      <c r="Q38" s="17" t="s">
        <v>15</v>
      </c>
    </row>
    <row r="39" spans="1:17" ht="45" x14ac:dyDescent="0.2">
      <c r="A39" s="20" t="s">
        <v>2</v>
      </c>
      <c r="B39" s="3" t="s">
        <v>3</v>
      </c>
      <c r="C39" s="14" t="s">
        <v>4</v>
      </c>
      <c r="D39" s="15" t="s">
        <v>5</v>
      </c>
      <c r="E39" s="14" t="s">
        <v>6</v>
      </c>
      <c r="F39" s="14" t="s">
        <v>3</v>
      </c>
      <c r="G39" s="3" t="s">
        <v>10</v>
      </c>
      <c r="H39" s="3" t="s">
        <v>5</v>
      </c>
      <c r="I39" s="3" t="s">
        <v>12</v>
      </c>
      <c r="J39" s="3" t="s">
        <v>11</v>
      </c>
      <c r="K39" s="1" t="s">
        <v>7</v>
      </c>
      <c r="L39" s="2" t="s">
        <v>5</v>
      </c>
      <c r="M39" s="2" t="s">
        <v>9</v>
      </c>
      <c r="N39" s="3" t="s">
        <v>8</v>
      </c>
      <c r="O39" s="3" t="s">
        <v>6</v>
      </c>
      <c r="P39" s="16" t="s">
        <v>3</v>
      </c>
      <c r="Q39" s="2" t="s">
        <v>16</v>
      </c>
    </row>
    <row r="40" spans="1:17" ht="15" customHeight="1" x14ac:dyDescent="0.2">
      <c r="A40" s="278" t="s">
        <v>388</v>
      </c>
      <c r="B40" s="308">
        <v>1</v>
      </c>
      <c r="C40" s="278" t="s">
        <v>260</v>
      </c>
      <c r="D40" s="309" t="s">
        <v>389</v>
      </c>
      <c r="E40" s="310">
        <v>1</v>
      </c>
      <c r="F40" s="300">
        <f>E40*B40</f>
        <v>1</v>
      </c>
      <c r="G40" s="281" t="s">
        <v>265</v>
      </c>
      <c r="H40" s="281" t="s">
        <v>412</v>
      </c>
      <c r="I40" s="312">
        <v>1</v>
      </c>
      <c r="J40" s="312">
        <f>I40*B40</f>
        <v>1</v>
      </c>
      <c r="K40" s="49" t="s">
        <v>57</v>
      </c>
      <c r="L40" s="86" t="s">
        <v>413</v>
      </c>
      <c r="M40" s="87" t="s">
        <v>392</v>
      </c>
      <c r="N40" s="88">
        <v>1</v>
      </c>
      <c r="O40" s="88">
        <f>N40*E40</f>
        <v>1</v>
      </c>
      <c r="P40" s="88">
        <f>O40*B$40</f>
        <v>1</v>
      </c>
      <c r="Q40" s="54"/>
    </row>
    <row r="41" spans="1:17" x14ac:dyDescent="0.2">
      <c r="A41" s="278"/>
      <c r="B41" s="308"/>
      <c r="C41" s="278"/>
      <c r="D41" s="309"/>
      <c r="E41" s="310"/>
      <c r="F41" s="300"/>
      <c r="G41" s="282"/>
      <c r="H41" s="282"/>
      <c r="I41" s="313"/>
      <c r="J41" s="313"/>
      <c r="K41" s="49" t="s">
        <v>58</v>
      </c>
      <c r="L41" s="86" t="s">
        <v>414</v>
      </c>
      <c r="M41" s="87" t="s">
        <v>415</v>
      </c>
      <c r="N41" s="88">
        <v>2</v>
      </c>
      <c r="O41" s="88">
        <f>N41*E40</f>
        <v>2</v>
      </c>
      <c r="P41" s="88">
        <f t="shared" ref="P41:P47" si="1">O41*B$40</f>
        <v>2</v>
      </c>
      <c r="Q41" s="54"/>
    </row>
    <row r="42" spans="1:17" ht="15" thickBot="1" x14ac:dyDescent="0.25">
      <c r="A42" s="278"/>
      <c r="B42" s="308"/>
      <c r="C42" s="278"/>
      <c r="D42" s="309"/>
      <c r="E42" s="310"/>
      <c r="F42" s="300"/>
      <c r="G42" s="311"/>
      <c r="H42" s="311"/>
      <c r="I42" s="314"/>
      <c r="J42" s="314"/>
      <c r="K42" s="69" t="s">
        <v>65</v>
      </c>
      <c r="L42" s="93" t="s">
        <v>406</v>
      </c>
      <c r="M42" s="94" t="s">
        <v>407</v>
      </c>
      <c r="N42" s="95">
        <v>2</v>
      </c>
      <c r="O42" s="95">
        <v>2</v>
      </c>
      <c r="P42" s="88">
        <f t="shared" si="1"/>
        <v>2</v>
      </c>
      <c r="Q42" s="73"/>
    </row>
    <row r="43" spans="1:17" x14ac:dyDescent="0.2">
      <c r="A43" s="278"/>
      <c r="B43" s="308"/>
      <c r="C43" s="278"/>
      <c r="D43" s="309"/>
      <c r="E43" s="310"/>
      <c r="F43" s="300"/>
      <c r="G43" s="315" t="s">
        <v>268</v>
      </c>
      <c r="H43" s="315" t="s">
        <v>416</v>
      </c>
      <c r="I43" s="317">
        <v>1</v>
      </c>
      <c r="J43" s="317">
        <f>I43*B40</f>
        <v>1</v>
      </c>
      <c r="K43" s="96" t="s">
        <v>66</v>
      </c>
      <c r="L43" s="97" t="s">
        <v>417</v>
      </c>
      <c r="M43" s="98" t="s">
        <v>275</v>
      </c>
      <c r="N43" s="99">
        <v>12</v>
      </c>
      <c r="O43" s="99">
        <v>12</v>
      </c>
      <c r="P43" s="99">
        <f t="shared" si="1"/>
        <v>12</v>
      </c>
      <c r="Q43" s="100"/>
    </row>
    <row r="44" spans="1:17" ht="15" thickBot="1" x14ac:dyDescent="0.25">
      <c r="A44" s="278"/>
      <c r="B44" s="308"/>
      <c r="C44" s="278"/>
      <c r="D44" s="309"/>
      <c r="E44" s="310"/>
      <c r="F44" s="300"/>
      <c r="G44" s="316"/>
      <c r="H44" s="316"/>
      <c r="I44" s="318"/>
      <c r="J44" s="318"/>
      <c r="K44" s="69" t="s">
        <v>67</v>
      </c>
      <c r="L44" s="93" t="s">
        <v>84</v>
      </c>
      <c r="M44" s="102" t="s">
        <v>276</v>
      </c>
      <c r="N44" s="95">
        <v>12</v>
      </c>
      <c r="O44" s="95">
        <f>N44*E40</f>
        <v>12</v>
      </c>
      <c r="P44" s="95">
        <f t="shared" si="1"/>
        <v>12</v>
      </c>
      <c r="Q44" s="73"/>
    </row>
    <row r="45" spans="1:17" x14ac:dyDescent="0.2">
      <c r="A45" s="278"/>
      <c r="B45" s="308"/>
      <c r="C45" s="278"/>
      <c r="D45" s="309"/>
      <c r="E45" s="310"/>
      <c r="F45" s="300"/>
      <c r="G45" s="103"/>
      <c r="H45" s="103"/>
      <c r="I45" s="103"/>
      <c r="J45" s="103"/>
      <c r="K45" s="145" t="s">
        <v>68</v>
      </c>
      <c r="L45" s="104" t="s">
        <v>418</v>
      </c>
      <c r="M45" s="105" t="s">
        <v>419</v>
      </c>
      <c r="N45" s="106">
        <v>2</v>
      </c>
      <c r="O45" s="106">
        <v>2</v>
      </c>
      <c r="P45" s="106">
        <f t="shared" si="1"/>
        <v>2</v>
      </c>
      <c r="Q45" s="75"/>
    </row>
    <row r="46" spans="1:17" x14ac:dyDescent="0.2">
      <c r="A46" s="278"/>
      <c r="B46" s="308"/>
      <c r="C46" s="278"/>
      <c r="D46" s="309"/>
      <c r="E46" s="310"/>
      <c r="F46" s="300"/>
      <c r="G46" s="49"/>
      <c r="H46" s="49"/>
      <c r="I46" s="49"/>
      <c r="J46" s="49"/>
      <c r="K46" s="49" t="s">
        <v>69</v>
      </c>
      <c r="L46" s="86" t="s">
        <v>420</v>
      </c>
      <c r="M46" s="92" t="s">
        <v>419</v>
      </c>
      <c r="N46" s="107">
        <v>2</v>
      </c>
      <c r="O46" s="88">
        <v>2</v>
      </c>
      <c r="P46" s="88">
        <f t="shared" si="1"/>
        <v>2</v>
      </c>
      <c r="Q46" s="54"/>
    </row>
    <row r="47" spans="1:17" x14ac:dyDescent="0.2">
      <c r="A47" s="278"/>
      <c r="B47" s="308"/>
      <c r="C47" s="278"/>
      <c r="D47" s="309"/>
      <c r="E47" s="310"/>
      <c r="F47" s="300"/>
      <c r="G47" s="49"/>
      <c r="H47" s="49"/>
      <c r="I47" s="49"/>
      <c r="J47" s="49"/>
      <c r="K47" s="49" t="s">
        <v>70</v>
      </c>
      <c r="L47" s="86" t="s">
        <v>421</v>
      </c>
      <c r="M47" s="92" t="s">
        <v>44</v>
      </c>
      <c r="N47" s="107">
        <v>6</v>
      </c>
      <c r="O47" s="88">
        <v>6</v>
      </c>
      <c r="P47" s="88">
        <f t="shared" si="1"/>
        <v>6</v>
      </c>
      <c r="Q47" s="54"/>
    </row>
    <row r="48" spans="1:17" x14ac:dyDescent="0.2">
      <c r="I48" s="5"/>
      <c r="J48" s="5"/>
    </row>
    <row r="67" spans="1:17" ht="12.75" customHeight="1" x14ac:dyDescent="0.2"/>
    <row r="68" spans="1:17" ht="19.5" x14ac:dyDescent="0.2">
      <c r="A68" s="276" t="s">
        <v>0</v>
      </c>
      <c r="B68" s="277"/>
      <c r="C68" s="11"/>
      <c r="D68" s="12"/>
      <c r="E68" s="12" t="s">
        <v>14</v>
      </c>
      <c r="F68" s="13"/>
      <c r="G68" s="12"/>
      <c r="H68" s="12" t="s">
        <v>13</v>
      </c>
      <c r="I68" s="12"/>
      <c r="J68" s="13"/>
      <c r="K68" s="11"/>
      <c r="L68" s="12"/>
      <c r="M68" s="6" t="s">
        <v>1</v>
      </c>
      <c r="N68" s="12"/>
      <c r="O68" s="12"/>
      <c r="P68" s="12"/>
      <c r="Q68" s="17" t="s">
        <v>15</v>
      </c>
    </row>
    <row r="69" spans="1:17" ht="42.75" customHeight="1" x14ac:dyDescent="0.2">
      <c r="A69" s="20" t="s">
        <v>2</v>
      </c>
      <c r="B69" s="3" t="s">
        <v>3</v>
      </c>
      <c r="C69" s="14" t="s">
        <v>4</v>
      </c>
      <c r="D69" s="15" t="s">
        <v>5</v>
      </c>
      <c r="E69" s="14" t="s">
        <v>6</v>
      </c>
      <c r="F69" s="14" t="s">
        <v>3</v>
      </c>
      <c r="G69" s="3" t="s">
        <v>10</v>
      </c>
      <c r="H69" s="3" t="s">
        <v>5</v>
      </c>
      <c r="I69" s="3" t="s">
        <v>12</v>
      </c>
      <c r="J69" s="3" t="s">
        <v>11</v>
      </c>
      <c r="K69" s="1" t="s">
        <v>7</v>
      </c>
      <c r="L69" s="2" t="s">
        <v>5</v>
      </c>
      <c r="M69" s="2" t="s">
        <v>9</v>
      </c>
      <c r="N69" s="3" t="s">
        <v>8</v>
      </c>
      <c r="O69" s="3" t="s">
        <v>6</v>
      </c>
      <c r="P69" s="16" t="s">
        <v>3</v>
      </c>
      <c r="Q69" s="2" t="s">
        <v>16</v>
      </c>
    </row>
    <row r="70" spans="1:17" ht="12.95" customHeight="1" x14ac:dyDescent="0.2">
      <c r="A70" s="281" t="s">
        <v>388</v>
      </c>
      <c r="B70" s="312">
        <v>1</v>
      </c>
      <c r="C70" s="326" t="s">
        <v>265</v>
      </c>
      <c r="D70" s="329" t="s">
        <v>422</v>
      </c>
      <c r="E70" s="332" t="s">
        <v>19</v>
      </c>
      <c r="F70" s="348">
        <f>E70*B70</f>
        <v>1</v>
      </c>
      <c r="G70" s="278" t="s">
        <v>260</v>
      </c>
      <c r="H70" s="278" t="s">
        <v>423</v>
      </c>
      <c r="I70" s="308" t="s">
        <v>19</v>
      </c>
      <c r="J70" s="308">
        <f>I70*B70</f>
        <v>1</v>
      </c>
      <c r="K70" s="49" t="s">
        <v>19</v>
      </c>
      <c r="L70" s="108" t="s">
        <v>424</v>
      </c>
      <c r="M70" s="44" t="s">
        <v>425</v>
      </c>
      <c r="N70" s="45">
        <v>1</v>
      </c>
      <c r="O70" s="45">
        <v>1</v>
      </c>
      <c r="P70" s="46">
        <f>O70*B$70</f>
        <v>1</v>
      </c>
      <c r="Q70" s="54"/>
    </row>
    <row r="71" spans="1:17" ht="12.95" customHeight="1" x14ac:dyDescent="0.2">
      <c r="A71" s="282"/>
      <c r="B71" s="313"/>
      <c r="C71" s="327"/>
      <c r="D71" s="330"/>
      <c r="E71" s="333"/>
      <c r="F71" s="349"/>
      <c r="G71" s="278"/>
      <c r="H71" s="278"/>
      <c r="I71" s="308"/>
      <c r="J71" s="308"/>
      <c r="K71" s="49" t="s">
        <v>21</v>
      </c>
      <c r="L71" s="108" t="s">
        <v>426</v>
      </c>
      <c r="M71" s="44" t="s">
        <v>427</v>
      </c>
      <c r="N71" s="45">
        <v>1</v>
      </c>
      <c r="O71" s="45">
        <v>1</v>
      </c>
      <c r="P71" s="46">
        <f t="shared" ref="P71:P96" si="2">O71*B$70</f>
        <v>1</v>
      </c>
      <c r="Q71" s="54"/>
    </row>
    <row r="72" spans="1:17" ht="12.95" customHeight="1" x14ac:dyDescent="0.2">
      <c r="A72" s="282"/>
      <c r="B72" s="313"/>
      <c r="C72" s="327"/>
      <c r="D72" s="330"/>
      <c r="E72" s="333"/>
      <c r="F72" s="349"/>
      <c r="G72" s="278"/>
      <c r="H72" s="278"/>
      <c r="I72" s="308"/>
      <c r="J72" s="308"/>
      <c r="K72" s="49" t="s">
        <v>23</v>
      </c>
      <c r="L72" s="108" t="s">
        <v>428</v>
      </c>
      <c r="M72" s="44" t="s">
        <v>429</v>
      </c>
      <c r="N72" s="45">
        <v>2</v>
      </c>
      <c r="O72" s="45">
        <v>2</v>
      </c>
      <c r="P72" s="46">
        <f t="shared" si="2"/>
        <v>2</v>
      </c>
      <c r="Q72" s="54"/>
    </row>
    <row r="73" spans="1:17" ht="12.95" customHeight="1" x14ac:dyDescent="0.2">
      <c r="A73" s="282"/>
      <c r="B73" s="313"/>
      <c r="C73" s="327"/>
      <c r="D73" s="330"/>
      <c r="E73" s="333"/>
      <c r="F73" s="349"/>
      <c r="G73" s="278"/>
      <c r="H73" s="278"/>
      <c r="I73" s="308"/>
      <c r="J73" s="308"/>
      <c r="K73" s="49" t="s">
        <v>26</v>
      </c>
      <c r="L73" s="108" t="s">
        <v>430</v>
      </c>
      <c r="M73" s="44" t="s">
        <v>431</v>
      </c>
      <c r="N73" s="45">
        <v>4</v>
      </c>
      <c r="O73" s="45">
        <v>4</v>
      </c>
      <c r="P73" s="46">
        <f t="shared" si="2"/>
        <v>4</v>
      </c>
      <c r="Q73" s="54"/>
    </row>
    <row r="74" spans="1:17" ht="12.95" customHeight="1" x14ac:dyDescent="0.2">
      <c r="A74" s="282"/>
      <c r="B74" s="313"/>
      <c r="C74" s="327"/>
      <c r="D74" s="330"/>
      <c r="E74" s="333"/>
      <c r="F74" s="349"/>
      <c r="G74" s="278"/>
      <c r="H74" s="278"/>
      <c r="I74" s="308"/>
      <c r="J74" s="308"/>
      <c r="K74" s="49" t="s">
        <v>29</v>
      </c>
      <c r="L74" s="108" t="s">
        <v>432</v>
      </c>
      <c r="M74" s="44" t="s">
        <v>433</v>
      </c>
      <c r="N74" s="45">
        <v>1</v>
      </c>
      <c r="O74" s="45">
        <v>1</v>
      </c>
      <c r="P74" s="46">
        <f t="shared" si="2"/>
        <v>1</v>
      </c>
      <c r="Q74" s="54"/>
    </row>
    <row r="75" spans="1:17" ht="12.95" customHeight="1" x14ac:dyDescent="0.2">
      <c r="A75" s="282"/>
      <c r="B75" s="313"/>
      <c r="C75" s="327"/>
      <c r="D75" s="330"/>
      <c r="E75" s="333"/>
      <c r="F75" s="349"/>
      <c r="G75" s="278"/>
      <c r="H75" s="278"/>
      <c r="I75" s="308"/>
      <c r="J75" s="308"/>
      <c r="K75" s="49" t="s">
        <v>32</v>
      </c>
      <c r="L75" s="108" t="s">
        <v>434</v>
      </c>
      <c r="M75" s="52" t="s">
        <v>435</v>
      </c>
      <c r="N75" s="45">
        <v>1</v>
      </c>
      <c r="O75" s="45">
        <v>1</v>
      </c>
      <c r="P75" s="46">
        <f t="shared" si="2"/>
        <v>1</v>
      </c>
      <c r="Q75" s="54"/>
    </row>
    <row r="76" spans="1:17" ht="12.95" customHeight="1" x14ac:dyDescent="0.2">
      <c r="A76" s="282"/>
      <c r="B76" s="313"/>
      <c r="C76" s="327"/>
      <c r="D76" s="330"/>
      <c r="E76" s="333"/>
      <c r="F76" s="349"/>
      <c r="G76" s="278"/>
      <c r="H76" s="278"/>
      <c r="I76" s="308"/>
      <c r="J76" s="308"/>
      <c r="K76" s="49" t="s">
        <v>35</v>
      </c>
      <c r="L76" s="108" t="s">
        <v>436</v>
      </c>
      <c r="M76" s="44" t="s">
        <v>100</v>
      </c>
      <c r="N76" s="45">
        <v>17</v>
      </c>
      <c r="O76" s="45">
        <v>17</v>
      </c>
      <c r="P76" s="46">
        <f t="shared" si="2"/>
        <v>17</v>
      </c>
      <c r="Q76" s="54"/>
    </row>
    <row r="77" spans="1:17" ht="12.95" customHeight="1" x14ac:dyDescent="0.2">
      <c r="A77" s="282"/>
      <c r="B77" s="313"/>
      <c r="C77" s="327"/>
      <c r="D77" s="330"/>
      <c r="E77" s="333"/>
      <c r="F77" s="349"/>
      <c r="G77" s="278"/>
      <c r="H77" s="278"/>
      <c r="I77" s="308"/>
      <c r="J77" s="308"/>
      <c r="K77" s="49" t="s">
        <v>37</v>
      </c>
      <c r="L77" s="108" t="s">
        <v>437</v>
      </c>
      <c r="M77" s="44" t="s">
        <v>316</v>
      </c>
      <c r="N77" s="45">
        <v>3</v>
      </c>
      <c r="O77" s="45">
        <v>3</v>
      </c>
      <c r="P77" s="46">
        <f t="shared" si="2"/>
        <v>3</v>
      </c>
      <c r="Q77" s="54"/>
    </row>
    <row r="78" spans="1:17" ht="12.95" customHeight="1" x14ac:dyDescent="0.2">
      <c r="A78" s="282"/>
      <c r="B78" s="313"/>
      <c r="C78" s="327"/>
      <c r="D78" s="330"/>
      <c r="E78" s="333"/>
      <c r="F78" s="349"/>
      <c r="G78" s="278"/>
      <c r="H78" s="278"/>
      <c r="I78" s="308"/>
      <c r="J78" s="308"/>
      <c r="K78" s="49" t="s">
        <v>40</v>
      </c>
      <c r="L78" s="108" t="s">
        <v>438</v>
      </c>
      <c r="M78" s="44" t="s">
        <v>439</v>
      </c>
      <c r="N78" s="45">
        <v>3</v>
      </c>
      <c r="O78" s="45">
        <v>3</v>
      </c>
      <c r="P78" s="46">
        <f t="shared" si="2"/>
        <v>3</v>
      </c>
      <c r="Q78" s="54"/>
    </row>
    <row r="79" spans="1:17" ht="12.95" customHeight="1" x14ac:dyDescent="0.2">
      <c r="A79" s="282"/>
      <c r="B79" s="313"/>
      <c r="C79" s="327"/>
      <c r="D79" s="330"/>
      <c r="E79" s="333"/>
      <c r="F79" s="349"/>
      <c r="G79" s="278"/>
      <c r="H79" s="278"/>
      <c r="I79" s="308"/>
      <c r="J79" s="308"/>
      <c r="K79" s="49" t="s">
        <v>51</v>
      </c>
      <c r="L79" s="108" t="s">
        <v>440</v>
      </c>
      <c r="M79" s="44" t="s">
        <v>42</v>
      </c>
      <c r="N79" s="45">
        <v>17</v>
      </c>
      <c r="O79" s="45">
        <v>17</v>
      </c>
      <c r="P79" s="46">
        <f t="shared" si="2"/>
        <v>17</v>
      </c>
      <c r="Q79" s="54"/>
    </row>
    <row r="80" spans="1:17" ht="12.95" customHeight="1" x14ac:dyDescent="0.2">
      <c r="A80" s="282"/>
      <c r="B80" s="313"/>
      <c r="C80" s="327"/>
      <c r="D80" s="330"/>
      <c r="E80" s="333"/>
      <c r="F80" s="349"/>
      <c r="G80" s="278"/>
      <c r="H80" s="278"/>
      <c r="I80" s="308"/>
      <c r="J80" s="308"/>
      <c r="K80" s="49" t="s">
        <v>52</v>
      </c>
      <c r="L80" s="108" t="s">
        <v>441</v>
      </c>
      <c r="M80" s="44" t="s">
        <v>370</v>
      </c>
      <c r="N80" s="45">
        <v>17</v>
      </c>
      <c r="O80" s="45">
        <v>17</v>
      </c>
      <c r="P80" s="46">
        <f t="shared" si="2"/>
        <v>17</v>
      </c>
      <c r="Q80" s="54"/>
    </row>
    <row r="81" spans="1:17" ht="12.95" customHeight="1" x14ac:dyDescent="0.2">
      <c r="A81" s="282"/>
      <c r="B81" s="313"/>
      <c r="C81" s="327"/>
      <c r="D81" s="330"/>
      <c r="E81" s="333"/>
      <c r="F81" s="349"/>
      <c r="G81" s="278"/>
      <c r="H81" s="278"/>
      <c r="I81" s="308"/>
      <c r="J81" s="308"/>
      <c r="K81" s="49" t="s">
        <v>53</v>
      </c>
      <c r="L81" s="108" t="s">
        <v>442</v>
      </c>
      <c r="M81" s="44" t="s">
        <v>85</v>
      </c>
      <c r="N81" s="45">
        <v>3</v>
      </c>
      <c r="O81" s="45">
        <v>3</v>
      </c>
      <c r="P81" s="46">
        <f t="shared" si="2"/>
        <v>3</v>
      </c>
      <c r="Q81" s="54"/>
    </row>
    <row r="82" spans="1:17" ht="12.95" customHeight="1" x14ac:dyDescent="0.2">
      <c r="A82" s="282"/>
      <c r="B82" s="313"/>
      <c r="C82" s="327"/>
      <c r="D82" s="330"/>
      <c r="E82" s="333"/>
      <c r="F82" s="349"/>
      <c r="G82" s="278"/>
      <c r="H82" s="278"/>
      <c r="I82" s="308"/>
      <c r="J82" s="308"/>
      <c r="K82" s="49" t="s">
        <v>57</v>
      </c>
      <c r="L82" s="108" t="s">
        <v>443</v>
      </c>
      <c r="M82" s="44" t="s">
        <v>444</v>
      </c>
      <c r="N82" s="45">
        <v>15</v>
      </c>
      <c r="O82" s="45">
        <v>15</v>
      </c>
      <c r="P82" s="46">
        <f t="shared" si="2"/>
        <v>15</v>
      </c>
      <c r="Q82" s="54"/>
    </row>
    <row r="83" spans="1:17" ht="12.95" customHeight="1" x14ac:dyDescent="0.2">
      <c r="A83" s="282"/>
      <c r="B83" s="313"/>
      <c r="C83" s="327"/>
      <c r="D83" s="330"/>
      <c r="E83" s="333"/>
      <c r="F83" s="349"/>
      <c r="G83" s="278"/>
      <c r="H83" s="278"/>
      <c r="I83" s="308"/>
      <c r="J83" s="308"/>
      <c r="K83" s="49" t="s">
        <v>58</v>
      </c>
      <c r="L83" s="108" t="s">
        <v>445</v>
      </c>
      <c r="M83" s="44" t="s">
        <v>446</v>
      </c>
      <c r="N83" s="45">
        <v>1</v>
      </c>
      <c r="O83" s="45">
        <v>1</v>
      </c>
      <c r="P83" s="46">
        <f t="shared" si="2"/>
        <v>1</v>
      </c>
      <c r="Q83" s="54"/>
    </row>
    <row r="84" spans="1:17" ht="12.95" customHeight="1" x14ac:dyDescent="0.2">
      <c r="A84" s="282"/>
      <c r="B84" s="313"/>
      <c r="C84" s="327"/>
      <c r="D84" s="330"/>
      <c r="E84" s="333"/>
      <c r="F84" s="349"/>
      <c r="G84" s="278"/>
      <c r="H84" s="278"/>
      <c r="I84" s="308"/>
      <c r="J84" s="308"/>
      <c r="K84" s="49" t="s">
        <v>65</v>
      </c>
      <c r="L84" s="108" t="s">
        <v>447</v>
      </c>
      <c r="M84" s="52" t="s">
        <v>448</v>
      </c>
      <c r="N84" s="45">
        <v>1</v>
      </c>
      <c r="O84" s="45">
        <v>1</v>
      </c>
      <c r="P84" s="46">
        <f t="shared" si="2"/>
        <v>1</v>
      </c>
      <c r="Q84" s="54"/>
    </row>
    <row r="85" spans="1:17" ht="12.95" customHeight="1" x14ac:dyDescent="0.2">
      <c r="A85" s="282"/>
      <c r="B85" s="313"/>
      <c r="C85" s="327"/>
      <c r="D85" s="330"/>
      <c r="E85" s="333"/>
      <c r="F85" s="349"/>
      <c r="G85" s="278"/>
      <c r="H85" s="278"/>
      <c r="I85" s="308"/>
      <c r="J85" s="308"/>
      <c r="K85" s="49" t="s">
        <v>66</v>
      </c>
      <c r="L85" s="108" t="s">
        <v>449</v>
      </c>
      <c r="M85" s="44" t="s">
        <v>450</v>
      </c>
      <c r="N85" s="45">
        <v>4</v>
      </c>
      <c r="O85" s="45">
        <v>4</v>
      </c>
      <c r="P85" s="46">
        <f t="shared" si="2"/>
        <v>4</v>
      </c>
      <c r="Q85" s="54"/>
    </row>
    <row r="86" spans="1:17" ht="12.95" customHeight="1" x14ac:dyDescent="0.2">
      <c r="A86" s="282"/>
      <c r="B86" s="313"/>
      <c r="C86" s="327"/>
      <c r="D86" s="330"/>
      <c r="E86" s="333"/>
      <c r="F86" s="349"/>
      <c r="G86" s="278"/>
      <c r="H86" s="278"/>
      <c r="I86" s="308"/>
      <c r="J86" s="308"/>
      <c r="K86" s="49" t="s">
        <v>67</v>
      </c>
      <c r="L86" s="108" t="s">
        <v>451</v>
      </c>
      <c r="M86" s="44" t="s">
        <v>75</v>
      </c>
      <c r="N86" s="45">
        <v>4</v>
      </c>
      <c r="O86" s="45">
        <v>4</v>
      </c>
      <c r="P86" s="46">
        <f t="shared" si="2"/>
        <v>4</v>
      </c>
      <c r="Q86" s="54"/>
    </row>
    <row r="87" spans="1:17" ht="12.95" customHeight="1" x14ac:dyDescent="0.2">
      <c r="A87" s="282"/>
      <c r="B87" s="313"/>
      <c r="C87" s="327"/>
      <c r="D87" s="330"/>
      <c r="E87" s="333"/>
      <c r="F87" s="349"/>
      <c r="G87" s="278"/>
      <c r="H87" s="278"/>
      <c r="I87" s="308"/>
      <c r="J87" s="308"/>
      <c r="K87" s="49" t="s">
        <v>68</v>
      </c>
      <c r="L87" s="108" t="s">
        <v>452</v>
      </c>
      <c r="M87" s="44" t="s">
        <v>453</v>
      </c>
      <c r="N87" s="45">
        <v>1</v>
      </c>
      <c r="O87" s="45">
        <v>1</v>
      </c>
      <c r="P87" s="46">
        <f t="shared" si="2"/>
        <v>1</v>
      </c>
      <c r="Q87" s="54"/>
    </row>
    <row r="88" spans="1:17" ht="12.95" customHeight="1" x14ac:dyDescent="0.2">
      <c r="A88" s="282"/>
      <c r="B88" s="313"/>
      <c r="C88" s="327"/>
      <c r="D88" s="330"/>
      <c r="E88" s="333"/>
      <c r="F88" s="349"/>
      <c r="G88" s="281"/>
      <c r="H88" s="281"/>
      <c r="I88" s="312"/>
      <c r="J88" s="312"/>
      <c r="K88" s="144" t="s">
        <v>69</v>
      </c>
      <c r="L88" s="109" t="s">
        <v>454</v>
      </c>
      <c r="M88" s="44" t="s">
        <v>439</v>
      </c>
      <c r="N88" s="110">
        <v>1</v>
      </c>
      <c r="O88" s="110">
        <v>1</v>
      </c>
      <c r="P88" s="46">
        <f t="shared" si="2"/>
        <v>1</v>
      </c>
      <c r="Q88" s="111"/>
    </row>
    <row r="89" spans="1:17" ht="12.95" customHeight="1" thickBot="1" x14ac:dyDescent="0.25">
      <c r="A89" s="282"/>
      <c r="B89" s="313"/>
      <c r="C89" s="327"/>
      <c r="D89" s="330"/>
      <c r="E89" s="333"/>
      <c r="F89" s="349"/>
      <c r="G89" s="304"/>
      <c r="H89" s="304"/>
      <c r="I89" s="323"/>
      <c r="J89" s="323"/>
      <c r="K89" s="69" t="s">
        <v>70</v>
      </c>
      <c r="L89" s="112" t="s">
        <v>455</v>
      </c>
      <c r="M89" s="113" t="s">
        <v>456</v>
      </c>
      <c r="N89" s="114">
        <v>1</v>
      </c>
      <c r="O89" s="114">
        <v>1</v>
      </c>
      <c r="P89" s="115">
        <f t="shared" si="2"/>
        <v>1</v>
      </c>
      <c r="Q89" s="116"/>
    </row>
    <row r="90" spans="1:17" ht="12.95" customHeight="1" x14ac:dyDescent="0.2">
      <c r="A90" s="282"/>
      <c r="B90" s="313"/>
      <c r="C90" s="327"/>
      <c r="D90" s="330"/>
      <c r="E90" s="333"/>
      <c r="F90" s="349"/>
      <c r="G90" s="321" t="s">
        <v>265</v>
      </c>
      <c r="H90" s="319" t="s">
        <v>457</v>
      </c>
      <c r="I90" s="321">
        <v>1</v>
      </c>
      <c r="J90" s="322">
        <f>B70</f>
        <v>1</v>
      </c>
      <c r="K90" s="96" t="s">
        <v>77</v>
      </c>
      <c r="L90" s="117" t="s">
        <v>458</v>
      </c>
      <c r="M90" s="118" t="s">
        <v>459</v>
      </c>
      <c r="N90" s="119">
        <v>1</v>
      </c>
      <c r="O90" s="119">
        <v>1</v>
      </c>
      <c r="P90" s="46">
        <f t="shared" si="2"/>
        <v>1</v>
      </c>
      <c r="Q90" s="120"/>
    </row>
    <row r="91" spans="1:17" ht="12.95" customHeight="1" thickBot="1" x14ac:dyDescent="0.25">
      <c r="A91" s="282"/>
      <c r="B91" s="313"/>
      <c r="C91" s="327"/>
      <c r="D91" s="330"/>
      <c r="E91" s="333"/>
      <c r="F91" s="349"/>
      <c r="G91" s="304"/>
      <c r="H91" s="320"/>
      <c r="I91" s="304"/>
      <c r="J91" s="323"/>
      <c r="K91" s="69" t="s">
        <v>78</v>
      </c>
      <c r="L91" s="112" t="s">
        <v>460</v>
      </c>
      <c r="M91" s="121" t="s">
        <v>461</v>
      </c>
      <c r="N91" s="114">
        <v>1</v>
      </c>
      <c r="O91" s="114">
        <v>1</v>
      </c>
      <c r="P91" s="114">
        <f t="shared" si="2"/>
        <v>1</v>
      </c>
      <c r="Q91" s="116"/>
    </row>
    <row r="92" spans="1:17" ht="12.95" customHeight="1" thickBot="1" x14ac:dyDescent="0.25">
      <c r="A92" s="282"/>
      <c r="B92" s="313"/>
      <c r="C92" s="327"/>
      <c r="D92" s="330"/>
      <c r="E92" s="333"/>
      <c r="F92" s="349"/>
      <c r="G92" s="122" t="s">
        <v>44</v>
      </c>
      <c r="H92" s="122" t="s">
        <v>44</v>
      </c>
      <c r="I92" s="122" t="s">
        <v>44</v>
      </c>
      <c r="J92" s="122" t="s">
        <v>44</v>
      </c>
      <c r="K92" s="123" t="s">
        <v>79</v>
      </c>
      <c r="L92" s="124" t="s">
        <v>462</v>
      </c>
      <c r="M92" s="125" t="s">
        <v>463</v>
      </c>
      <c r="N92" s="126">
        <v>1</v>
      </c>
      <c r="O92" s="126">
        <v>1</v>
      </c>
      <c r="P92" s="114">
        <f t="shared" si="2"/>
        <v>1</v>
      </c>
      <c r="Q92" s="127"/>
    </row>
    <row r="93" spans="1:17" ht="12.95" customHeight="1" x14ac:dyDescent="0.2">
      <c r="A93" s="282"/>
      <c r="B93" s="313"/>
      <c r="C93" s="327"/>
      <c r="D93" s="330"/>
      <c r="E93" s="333"/>
      <c r="F93" s="349"/>
      <c r="G93" s="324" t="s">
        <v>268</v>
      </c>
      <c r="H93" s="324" t="s">
        <v>311</v>
      </c>
      <c r="I93" s="324">
        <v>1</v>
      </c>
      <c r="J93" s="335">
        <f>B70</f>
        <v>1</v>
      </c>
      <c r="K93" s="96" t="s">
        <v>80</v>
      </c>
      <c r="L93" s="117" t="s">
        <v>464</v>
      </c>
      <c r="M93" s="44" t="s">
        <v>465</v>
      </c>
      <c r="N93" s="119">
        <v>7</v>
      </c>
      <c r="O93" s="119">
        <v>7</v>
      </c>
      <c r="P93" s="46">
        <f t="shared" si="2"/>
        <v>7</v>
      </c>
      <c r="Q93" s="120"/>
    </row>
    <row r="94" spans="1:17" ht="12.95" customHeight="1" x14ac:dyDescent="0.2">
      <c r="A94" s="282"/>
      <c r="B94" s="313"/>
      <c r="C94" s="327"/>
      <c r="D94" s="330"/>
      <c r="E94" s="333"/>
      <c r="F94" s="349"/>
      <c r="G94" s="282"/>
      <c r="H94" s="282"/>
      <c r="I94" s="282"/>
      <c r="J94" s="313"/>
      <c r="K94" s="145" t="s">
        <v>466</v>
      </c>
      <c r="L94" s="128" t="s">
        <v>467</v>
      </c>
      <c r="M94" s="44" t="s">
        <v>370</v>
      </c>
      <c r="N94" s="82">
        <v>7</v>
      </c>
      <c r="O94" s="82">
        <v>7</v>
      </c>
      <c r="P94" s="46">
        <f t="shared" si="2"/>
        <v>7</v>
      </c>
      <c r="Q94" s="56"/>
    </row>
    <row r="95" spans="1:17" ht="12.95" customHeight="1" x14ac:dyDescent="0.2">
      <c r="A95" s="282"/>
      <c r="B95" s="313"/>
      <c r="C95" s="327"/>
      <c r="D95" s="330"/>
      <c r="E95" s="333"/>
      <c r="F95" s="349"/>
      <c r="G95" s="282"/>
      <c r="H95" s="282"/>
      <c r="I95" s="282"/>
      <c r="J95" s="313"/>
      <c r="K95" s="145" t="s">
        <v>468</v>
      </c>
      <c r="L95" s="128" t="s">
        <v>469</v>
      </c>
      <c r="M95" s="129" t="s">
        <v>275</v>
      </c>
      <c r="N95" s="82">
        <v>7</v>
      </c>
      <c r="O95" s="82">
        <v>7</v>
      </c>
      <c r="P95" s="46">
        <f t="shared" si="2"/>
        <v>7</v>
      </c>
      <c r="Q95" s="130"/>
    </row>
    <row r="96" spans="1:17" ht="12.95" customHeight="1" x14ac:dyDescent="0.2">
      <c r="A96" s="283"/>
      <c r="B96" s="325"/>
      <c r="C96" s="328"/>
      <c r="D96" s="331"/>
      <c r="E96" s="334"/>
      <c r="F96" s="350"/>
      <c r="G96" s="283"/>
      <c r="H96" s="283"/>
      <c r="I96" s="283"/>
      <c r="J96" s="325"/>
      <c r="K96" s="49" t="s">
        <v>470</v>
      </c>
      <c r="L96" s="108" t="s">
        <v>84</v>
      </c>
      <c r="M96" s="44" t="s">
        <v>276</v>
      </c>
      <c r="N96" s="45">
        <v>7</v>
      </c>
      <c r="O96" s="45">
        <v>7</v>
      </c>
      <c r="P96" s="46">
        <f t="shared" si="2"/>
        <v>7</v>
      </c>
      <c r="Q96" s="56"/>
    </row>
    <row r="97" spans="1:17" ht="12.95" customHeight="1" x14ac:dyDescent="0.2">
      <c r="A97" s="133"/>
      <c r="B97" s="133"/>
      <c r="C97" s="134"/>
      <c r="D97" s="135"/>
      <c r="E97" s="58"/>
      <c r="F97" s="136"/>
      <c r="G97" s="133"/>
      <c r="H97" s="133"/>
      <c r="I97" s="133"/>
      <c r="J97" s="133"/>
      <c r="K97" s="58"/>
      <c r="L97" s="61"/>
      <c r="M97" s="137"/>
      <c r="N97" s="61"/>
      <c r="O97" s="61"/>
      <c r="P97" s="62"/>
      <c r="Q97" s="57"/>
    </row>
    <row r="98" spans="1:17" ht="12.95" customHeight="1" x14ac:dyDescent="0.2">
      <c r="A98" s="133"/>
      <c r="B98" s="133"/>
      <c r="C98" s="134"/>
      <c r="D98" s="135"/>
      <c r="E98" s="58"/>
      <c r="F98" s="136"/>
      <c r="G98" s="133"/>
      <c r="H98" s="133"/>
      <c r="I98" s="133"/>
      <c r="J98" s="133"/>
      <c r="K98" s="58"/>
      <c r="L98" s="61"/>
      <c r="M98" s="137"/>
      <c r="N98" s="61"/>
      <c r="O98" s="61"/>
      <c r="P98" s="62"/>
      <c r="Q98" s="57"/>
    </row>
    <row r="104" spans="1:17" ht="8.25" customHeight="1" x14ac:dyDescent="0.2"/>
    <row r="105" spans="1:17" ht="19.5" x14ac:dyDescent="0.2">
      <c r="A105" s="276" t="s">
        <v>0</v>
      </c>
      <c r="B105" s="277"/>
      <c r="C105" s="11"/>
      <c r="D105" s="12"/>
      <c r="E105" s="12" t="s">
        <v>14</v>
      </c>
      <c r="F105" s="13"/>
      <c r="G105" s="12"/>
      <c r="H105" s="12" t="s">
        <v>13</v>
      </c>
      <c r="I105" s="12"/>
      <c r="J105" s="13"/>
      <c r="K105" s="11"/>
      <c r="L105" s="12"/>
      <c r="M105" s="6" t="s">
        <v>1</v>
      </c>
      <c r="N105" s="12"/>
      <c r="O105" s="12"/>
      <c r="P105" s="12"/>
      <c r="Q105" s="17" t="s">
        <v>15</v>
      </c>
    </row>
    <row r="106" spans="1:17" ht="45" x14ac:dyDescent="0.2">
      <c r="A106" s="29" t="s">
        <v>2</v>
      </c>
      <c r="B106" s="30" t="s">
        <v>3</v>
      </c>
      <c r="C106" s="30" t="s">
        <v>4</v>
      </c>
      <c r="D106" s="31" t="s">
        <v>5</v>
      </c>
      <c r="E106" s="30" t="s">
        <v>6</v>
      </c>
      <c r="F106" s="30" t="s">
        <v>3</v>
      </c>
      <c r="G106" s="30" t="s">
        <v>10</v>
      </c>
      <c r="H106" s="30" t="s">
        <v>5</v>
      </c>
      <c r="I106" s="30" t="s">
        <v>12</v>
      </c>
      <c r="J106" s="30" t="s">
        <v>11</v>
      </c>
      <c r="K106" s="32" t="s">
        <v>7</v>
      </c>
      <c r="L106" s="31" t="s">
        <v>5</v>
      </c>
      <c r="M106" s="31" t="s">
        <v>9</v>
      </c>
      <c r="N106" s="30" t="s">
        <v>8</v>
      </c>
      <c r="O106" s="30" t="s">
        <v>6</v>
      </c>
      <c r="P106" s="30" t="s">
        <v>3</v>
      </c>
      <c r="Q106" s="31" t="s">
        <v>16</v>
      </c>
    </row>
    <row r="107" spans="1:17" x14ac:dyDescent="0.2">
      <c r="A107" s="336" t="s">
        <v>388</v>
      </c>
      <c r="B107" s="339">
        <v>1</v>
      </c>
      <c r="C107" s="336" t="s">
        <v>268</v>
      </c>
      <c r="D107" s="342" t="s">
        <v>471</v>
      </c>
      <c r="E107" s="345" t="s">
        <v>19</v>
      </c>
      <c r="F107" s="339">
        <f>B107</f>
        <v>1</v>
      </c>
      <c r="G107" s="138" t="s">
        <v>44</v>
      </c>
      <c r="H107" s="138" t="s">
        <v>44</v>
      </c>
      <c r="I107" s="139" t="s">
        <v>44</v>
      </c>
      <c r="J107" s="139" t="s">
        <v>44</v>
      </c>
      <c r="K107" s="145" t="s">
        <v>19</v>
      </c>
      <c r="L107" s="104" t="s">
        <v>472</v>
      </c>
      <c r="M107" s="105" t="s">
        <v>378</v>
      </c>
      <c r="N107" s="105">
        <v>1</v>
      </c>
      <c r="O107" s="82">
        <v>1</v>
      </c>
      <c r="P107" s="82">
        <f>O107*B$107</f>
        <v>1</v>
      </c>
      <c r="Q107" s="56"/>
    </row>
    <row r="108" spans="1:17" x14ac:dyDescent="0.2">
      <c r="A108" s="337"/>
      <c r="B108" s="340"/>
      <c r="C108" s="337"/>
      <c r="D108" s="343"/>
      <c r="E108" s="346"/>
      <c r="F108" s="340"/>
      <c r="G108" s="363" t="s">
        <v>260</v>
      </c>
      <c r="H108" s="363" t="s">
        <v>473</v>
      </c>
      <c r="I108" s="366" t="s">
        <v>19</v>
      </c>
      <c r="J108" s="348">
        <f>B107</f>
        <v>1</v>
      </c>
      <c r="K108" s="49" t="s">
        <v>21</v>
      </c>
      <c r="L108" s="86" t="s">
        <v>474</v>
      </c>
      <c r="M108" s="129" t="s">
        <v>475</v>
      </c>
      <c r="N108" s="105">
        <v>1</v>
      </c>
      <c r="O108" s="45">
        <v>1</v>
      </c>
      <c r="P108" s="82">
        <f t="shared" ref="P108:P124" si="3">O108*B$107</f>
        <v>1</v>
      </c>
      <c r="Q108" s="56"/>
    </row>
    <row r="109" spans="1:17" x14ac:dyDescent="0.2">
      <c r="A109" s="337"/>
      <c r="B109" s="340"/>
      <c r="C109" s="337"/>
      <c r="D109" s="343"/>
      <c r="E109" s="346"/>
      <c r="F109" s="340"/>
      <c r="G109" s="364"/>
      <c r="H109" s="364"/>
      <c r="I109" s="367"/>
      <c r="J109" s="349"/>
      <c r="K109" s="49" t="s">
        <v>23</v>
      </c>
      <c r="L109" s="86" t="s">
        <v>476</v>
      </c>
      <c r="M109" s="129" t="s">
        <v>477</v>
      </c>
      <c r="N109" s="105">
        <v>1</v>
      </c>
      <c r="O109" s="45">
        <v>1</v>
      </c>
      <c r="P109" s="82">
        <f t="shared" si="3"/>
        <v>1</v>
      </c>
      <c r="Q109" s="56"/>
    </row>
    <row r="110" spans="1:17" x14ac:dyDescent="0.2">
      <c r="A110" s="337"/>
      <c r="B110" s="340"/>
      <c r="C110" s="337"/>
      <c r="D110" s="343"/>
      <c r="E110" s="346"/>
      <c r="F110" s="340"/>
      <c r="G110" s="364"/>
      <c r="H110" s="364"/>
      <c r="I110" s="367"/>
      <c r="J110" s="349"/>
      <c r="K110" s="145" t="s">
        <v>26</v>
      </c>
      <c r="L110" s="86" t="s">
        <v>478</v>
      </c>
      <c r="M110" s="105" t="s">
        <v>479</v>
      </c>
      <c r="N110" s="105">
        <v>1</v>
      </c>
      <c r="O110" s="45">
        <v>1</v>
      </c>
      <c r="P110" s="82">
        <f t="shared" si="3"/>
        <v>1</v>
      </c>
      <c r="Q110" s="56"/>
    </row>
    <row r="111" spans="1:17" x14ac:dyDescent="0.2">
      <c r="A111" s="337"/>
      <c r="B111" s="340"/>
      <c r="C111" s="337"/>
      <c r="D111" s="343"/>
      <c r="E111" s="346"/>
      <c r="F111" s="340"/>
      <c r="G111" s="364"/>
      <c r="H111" s="364"/>
      <c r="I111" s="367"/>
      <c r="J111" s="349"/>
      <c r="K111" s="49" t="s">
        <v>29</v>
      </c>
      <c r="L111" s="86" t="s">
        <v>480</v>
      </c>
      <c r="M111" s="105" t="s">
        <v>481</v>
      </c>
      <c r="N111" s="105">
        <v>1</v>
      </c>
      <c r="O111" s="45">
        <v>1</v>
      </c>
      <c r="P111" s="82">
        <f t="shared" si="3"/>
        <v>1</v>
      </c>
      <c r="Q111" s="56"/>
    </row>
    <row r="112" spans="1:17" x14ac:dyDescent="0.2">
      <c r="A112" s="337"/>
      <c r="B112" s="340"/>
      <c r="C112" s="337"/>
      <c r="D112" s="343"/>
      <c r="E112" s="346"/>
      <c r="F112" s="340"/>
      <c r="G112" s="364"/>
      <c r="H112" s="364"/>
      <c r="I112" s="367"/>
      <c r="J112" s="349"/>
      <c r="K112" s="49" t="s">
        <v>32</v>
      </c>
      <c r="L112" s="86" t="s">
        <v>482</v>
      </c>
      <c r="M112" s="105" t="s">
        <v>483</v>
      </c>
      <c r="N112" s="105">
        <v>2</v>
      </c>
      <c r="O112" s="45">
        <v>2</v>
      </c>
      <c r="P112" s="82">
        <f t="shared" si="3"/>
        <v>2</v>
      </c>
      <c r="Q112" s="56"/>
    </row>
    <row r="113" spans="1:17" x14ac:dyDescent="0.2">
      <c r="A113" s="337"/>
      <c r="B113" s="340"/>
      <c r="C113" s="337"/>
      <c r="D113" s="343"/>
      <c r="E113" s="346"/>
      <c r="F113" s="340"/>
      <c r="G113" s="364"/>
      <c r="H113" s="364"/>
      <c r="I113" s="367"/>
      <c r="J113" s="349"/>
      <c r="K113" s="145" t="s">
        <v>35</v>
      </c>
      <c r="L113" s="86" t="s">
        <v>484</v>
      </c>
      <c r="M113" s="105" t="s">
        <v>485</v>
      </c>
      <c r="N113" s="105">
        <v>2</v>
      </c>
      <c r="O113" s="45">
        <v>2</v>
      </c>
      <c r="P113" s="82">
        <f t="shared" si="3"/>
        <v>2</v>
      </c>
      <c r="Q113" s="56"/>
    </row>
    <row r="114" spans="1:17" x14ac:dyDescent="0.2">
      <c r="A114" s="337"/>
      <c r="B114" s="340"/>
      <c r="C114" s="337"/>
      <c r="D114" s="343"/>
      <c r="E114" s="346"/>
      <c r="F114" s="340"/>
      <c r="G114" s="364"/>
      <c r="H114" s="364"/>
      <c r="I114" s="367"/>
      <c r="J114" s="349"/>
      <c r="K114" s="49" t="s">
        <v>37</v>
      </c>
      <c r="L114" s="86" t="s">
        <v>486</v>
      </c>
      <c r="M114" s="105" t="s">
        <v>85</v>
      </c>
      <c r="N114" s="105">
        <v>2</v>
      </c>
      <c r="O114" s="45">
        <v>2</v>
      </c>
      <c r="P114" s="82">
        <f t="shared" si="3"/>
        <v>2</v>
      </c>
      <c r="Q114" s="56"/>
    </row>
    <row r="115" spans="1:17" x14ac:dyDescent="0.2">
      <c r="A115" s="337"/>
      <c r="B115" s="340"/>
      <c r="C115" s="337"/>
      <c r="D115" s="343"/>
      <c r="E115" s="346"/>
      <c r="F115" s="340"/>
      <c r="G115" s="364"/>
      <c r="H115" s="364"/>
      <c r="I115" s="367"/>
      <c r="J115" s="349"/>
      <c r="K115" s="49" t="s">
        <v>40</v>
      </c>
      <c r="L115" s="86" t="s">
        <v>487</v>
      </c>
      <c r="M115" s="142" t="s">
        <v>488</v>
      </c>
      <c r="N115" s="105">
        <v>2</v>
      </c>
      <c r="O115" s="45">
        <v>2</v>
      </c>
      <c r="P115" s="82">
        <f t="shared" si="3"/>
        <v>2</v>
      </c>
      <c r="Q115" s="56"/>
    </row>
    <row r="116" spans="1:17" x14ac:dyDescent="0.2">
      <c r="A116" s="337"/>
      <c r="B116" s="340"/>
      <c r="C116" s="337"/>
      <c r="D116" s="343"/>
      <c r="E116" s="346"/>
      <c r="F116" s="340"/>
      <c r="G116" s="365"/>
      <c r="H116" s="365"/>
      <c r="I116" s="368"/>
      <c r="J116" s="350"/>
      <c r="K116" s="145" t="s">
        <v>51</v>
      </c>
      <c r="L116" s="86" t="s">
        <v>489</v>
      </c>
      <c r="M116" s="142" t="s">
        <v>490</v>
      </c>
      <c r="N116" s="105">
        <v>2</v>
      </c>
      <c r="O116" s="45">
        <v>2</v>
      </c>
      <c r="P116" s="82">
        <f t="shared" si="3"/>
        <v>2</v>
      </c>
      <c r="Q116" s="56"/>
    </row>
    <row r="117" spans="1:17" x14ac:dyDescent="0.2">
      <c r="A117" s="337"/>
      <c r="B117" s="340"/>
      <c r="C117" s="337"/>
      <c r="D117" s="343"/>
      <c r="E117" s="346"/>
      <c r="F117" s="340"/>
      <c r="G117" s="369" t="s">
        <v>265</v>
      </c>
      <c r="H117" s="369" t="s">
        <v>491</v>
      </c>
      <c r="I117" s="371" t="s">
        <v>19</v>
      </c>
      <c r="J117" s="332">
        <f>B107</f>
        <v>1</v>
      </c>
      <c r="K117" s="49" t="s">
        <v>52</v>
      </c>
      <c r="L117" s="86" t="s">
        <v>492</v>
      </c>
      <c r="M117" s="129" t="s">
        <v>477</v>
      </c>
      <c r="N117" s="105">
        <v>1</v>
      </c>
      <c r="O117" s="45">
        <v>1</v>
      </c>
      <c r="P117" s="82">
        <f t="shared" si="3"/>
        <v>1</v>
      </c>
      <c r="Q117" s="56"/>
    </row>
    <row r="118" spans="1:17" x14ac:dyDescent="0.2">
      <c r="A118" s="337"/>
      <c r="B118" s="340"/>
      <c r="C118" s="337"/>
      <c r="D118" s="343"/>
      <c r="E118" s="346"/>
      <c r="F118" s="340"/>
      <c r="G118" s="370"/>
      <c r="H118" s="370"/>
      <c r="I118" s="372"/>
      <c r="J118" s="334"/>
      <c r="K118" s="49" t="s">
        <v>53</v>
      </c>
      <c r="L118" s="146" t="s">
        <v>493</v>
      </c>
      <c r="M118" s="92" t="s">
        <v>378</v>
      </c>
      <c r="N118" s="92">
        <v>1</v>
      </c>
      <c r="O118" s="110">
        <v>1</v>
      </c>
      <c r="P118" s="82">
        <f t="shared" si="3"/>
        <v>1</v>
      </c>
      <c r="Q118" s="56"/>
    </row>
    <row r="119" spans="1:17" x14ac:dyDescent="0.2">
      <c r="A119" s="337"/>
      <c r="B119" s="340"/>
      <c r="C119" s="337"/>
      <c r="D119" s="343"/>
      <c r="E119" s="346"/>
      <c r="F119" s="340"/>
      <c r="G119" s="147" t="s">
        <v>44</v>
      </c>
      <c r="H119" s="147" t="s">
        <v>44</v>
      </c>
      <c r="I119" s="148" t="s">
        <v>44</v>
      </c>
      <c r="J119" s="148" t="s">
        <v>44</v>
      </c>
      <c r="K119" s="145" t="s">
        <v>57</v>
      </c>
      <c r="L119" s="86" t="s">
        <v>494</v>
      </c>
      <c r="M119" s="44" t="s">
        <v>495</v>
      </c>
      <c r="N119" s="92">
        <v>1</v>
      </c>
      <c r="O119" s="110">
        <v>1</v>
      </c>
      <c r="P119" s="82">
        <f t="shared" si="3"/>
        <v>1</v>
      </c>
      <c r="Q119" s="56"/>
    </row>
    <row r="120" spans="1:17" x14ac:dyDescent="0.2">
      <c r="A120" s="337"/>
      <c r="B120" s="340"/>
      <c r="C120" s="337"/>
      <c r="D120" s="343"/>
      <c r="E120" s="346"/>
      <c r="F120" s="340"/>
      <c r="G120" s="147" t="s">
        <v>44</v>
      </c>
      <c r="H120" s="147" t="s">
        <v>44</v>
      </c>
      <c r="I120" s="148" t="s">
        <v>44</v>
      </c>
      <c r="J120" s="148" t="s">
        <v>44</v>
      </c>
      <c r="K120" s="49" t="s">
        <v>58</v>
      </c>
      <c r="L120" s="86" t="s">
        <v>496</v>
      </c>
      <c r="M120" s="129" t="s">
        <v>497</v>
      </c>
      <c r="N120" s="92">
        <v>2</v>
      </c>
      <c r="O120" s="110">
        <v>2</v>
      </c>
      <c r="P120" s="82">
        <f t="shared" si="3"/>
        <v>2</v>
      </c>
      <c r="Q120" s="56"/>
    </row>
    <row r="121" spans="1:17" ht="28.5" x14ac:dyDescent="0.2">
      <c r="A121" s="337"/>
      <c r="B121" s="340"/>
      <c r="C121" s="337"/>
      <c r="D121" s="343"/>
      <c r="E121" s="346"/>
      <c r="F121" s="340"/>
      <c r="G121" s="351" t="s">
        <v>268</v>
      </c>
      <c r="H121" s="354" t="s">
        <v>498</v>
      </c>
      <c r="I121" s="357" t="s">
        <v>19</v>
      </c>
      <c r="J121" s="360">
        <f>B107</f>
        <v>1</v>
      </c>
      <c r="K121" s="49" t="s">
        <v>65</v>
      </c>
      <c r="L121" s="149" t="s">
        <v>499</v>
      </c>
      <c r="M121" s="150" t="s">
        <v>500</v>
      </c>
      <c r="N121" s="92">
        <v>1</v>
      </c>
      <c r="O121" s="110">
        <v>1</v>
      </c>
      <c r="P121" s="82">
        <f t="shared" si="3"/>
        <v>1</v>
      </c>
      <c r="Q121" s="56"/>
    </row>
    <row r="122" spans="1:17" ht="15" x14ac:dyDescent="0.2">
      <c r="A122" s="337"/>
      <c r="B122" s="340"/>
      <c r="C122" s="337"/>
      <c r="D122" s="343"/>
      <c r="E122" s="346"/>
      <c r="F122" s="340"/>
      <c r="G122" s="352"/>
      <c r="H122" s="355"/>
      <c r="I122" s="358"/>
      <c r="J122" s="361"/>
      <c r="K122" s="145" t="s">
        <v>66</v>
      </c>
      <c r="L122" s="149" t="s">
        <v>501</v>
      </c>
      <c r="M122" s="152" t="s">
        <v>502</v>
      </c>
      <c r="N122" s="92">
        <v>1</v>
      </c>
      <c r="O122" s="110">
        <v>1</v>
      </c>
      <c r="P122" s="82">
        <f t="shared" si="3"/>
        <v>1</v>
      </c>
      <c r="Q122" s="56"/>
    </row>
    <row r="123" spans="1:17" x14ac:dyDescent="0.2">
      <c r="A123" s="337"/>
      <c r="B123" s="340"/>
      <c r="C123" s="337"/>
      <c r="D123" s="343"/>
      <c r="E123" s="346"/>
      <c r="F123" s="340"/>
      <c r="G123" s="352"/>
      <c r="H123" s="355"/>
      <c r="I123" s="358"/>
      <c r="J123" s="361"/>
      <c r="K123" s="49" t="s">
        <v>67</v>
      </c>
      <c r="L123" s="149" t="s">
        <v>503</v>
      </c>
      <c r="M123" s="129" t="s">
        <v>504</v>
      </c>
      <c r="N123" s="92">
        <v>1</v>
      </c>
      <c r="O123" s="110">
        <v>1</v>
      </c>
      <c r="P123" s="82">
        <f t="shared" si="3"/>
        <v>1</v>
      </c>
      <c r="Q123" s="56"/>
    </row>
    <row r="124" spans="1:17" ht="28.5" x14ac:dyDescent="0.2">
      <c r="A124" s="338"/>
      <c r="B124" s="341"/>
      <c r="C124" s="338"/>
      <c r="D124" s="344"/>
      <c r="E124" s="347"/>
      <c r="F124" s="341"/>
      <c r="G124" s="353"/>
      <c r="H124" s="356"/>
      <c r="I124" s="359"/>
      <c r="J124" s="362"/>
      <c r="K124" s="49" t="s">
        <v>68</v>
      </c>
      <c r="L124" s="149" t="s">
        <v>505</v>
      </c>
      <c r="M124" s="150" t="s">
        <v>506</v>
      </c>
      <c r="N124" s="92">
        <v>1</v>
      </c>
      <c r="O124" s="45">
        <v>1</v>
      </c>
      <c r="P124" s="82">
        <f t="shared" si="3"/>
        <v>1</v>
      </c>
      <c r="Q124" s="56"/>
    </row>
  </sheetData>
  <mergeCells count="64">
    <mergeCell ref="I121:I124"/>
    <mergeCell ref="J121:J124"/>
    <mergeCell ref="G108:G116"/>
    <mergeCell ref="H108:H116"/>
    <mergeCell ref="I108:I116"/>
    <mergeCell ref="J108:J116"/>
    <mergeCell ref="G117:G118"/>
    <mergeCell ref="H117:H118"/>
    <mergeCell ref="I117:I118"/>
    <mergeCell ref="J117:J118"/>
    <mergeCell ref="E107:E124"/>
    <mergeCell ref="F107:F124"/>
    <mergeCell ref="F70:F96"/>
    <mergeCell ref="G70:G89"/>
    <mergeCell ref="H70:H89"/>
    <mergeCell ref="G90:G91"/>
    <mergeCell ref="G121:G124"/>
    <mergeCell ref="H121:H124"/>
    <mergeCell ref="A105:B105"/>
    <mergeCell ref="A107:A124"/>
    <mergeCell ref="B107:B124"/>
    <mergeCell ref="C107:C124"/>
    <mergeCell ref="D107:D124"/>
    <mergeCell ref="H90:H91"/>
    <mergeCell ref="I90:I91"/>
    <mergeCell ref="J90:J91"/>
    <mergeCell ref="G93:G96"/>
    <mergeCell ref="A68:B68"/>
    <mergeCell ref="A70:A96"/>
    <mergeCell ref="B70:B96"/>
    <mergeCell ref="C70:C96"/>
    <mergeCell ref="D70:D96"/>
    <mergeCell ref="E70:E96"/>
    <mergeCell ref="H93:H96"/>
    <mergeCell ref="I93:I96"/>
    <mergeCell ref="J93:J96"/>
    <mergeCell ref="I70:I89"/>
    <mergeCell ref="J70:J89"/>
    <mergeCell ref="J40:J42"/>
    <mergeCell ref="G43:G44"/>
    <mergeCell ref="H43:H44"/>
    <mergeCell ref="I43:I44"/>
    <mergeCell ref="J43:J44"/>
    <mergeCell ref="A40:A47"/>
    <mergeCell ref="B40:B47"/>
    <mergeCell ref="C40:C47"/>
    <mergeCell ref="D40:D47"/>
    <mergeCell ref="E40:E47"/>
    <mergeCell ref="F40:F47"/>
    <mergeCell ref="F8:F19"/>
    <mergeCell ref="G8:G19"/>
    <mergeCell ref="H8:H19"/>
    <mergeCell ref="I8:I19"/>
    <mergeCell ref="G40:G42"/>
    <mergeCell ref="H40:H42"/>
    <mergeCell ref="I40:I42"/>
    <mergeCell ref="J8:J19"/>
    <mergeCell ref="A38:B38"/>
    <mergeCell ref="A6:B6"/>
    <mergeCell ref="A8:A19"/>
    <mergeCell ref="B8:B19"/>
    <mergeCell ref="C8:C19"/>
    <mergeCell ref="D8:D19"/>
    <mergeCell ref="E8:E19"/>
  </mergeCells>
  <pageMargins left="0.46195652173913043" right="0.7" top="0.66666666666666663" bottom="0.718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3"/>
  <sheetViews>
    <sheetView view="pageLayout" zoomScaleNormal="100" workbookViewId="0">
      <selection activeCell="J41" sqref="J41"/>
    </sheetView>
  </sheetViews>
  <sheetFormatPr defaultRowHeight="14.25" x14ac:dyDescent="0.2"/>
  <cols>
    <col min="1" max="2" width="5" customWidth="1"/>
    <col min="3" max="3" width="5.125" customWidth="1"/>
    <col min="4" max="4" width="5.25" customWidth="1"/>
    <col min="5" max="5" width="4.75" customWidth="1"/>
    <col min="6" max="6" width="5.375" customWidth="1"/>
    <col min="7" max="7" width="5.125" customWidth="1"/>
    <col min="8" max="8" width="6.75" customWidth="1"/>
    <col min="9" max="9" width="9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2.2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9" ht="12" customHeight="1" x14ac:dyDescent="0.2"/>
    <row r="5" spans="1:29" ht="5.25" customHeight="1" x14ac:dyDescent="0.2"/>
    <row r="6" spans="1:29" ht="19.5" x14ac:dyDescent="0.2">
      <c r="A6" s="276" t="s">
        <v>0</v>
      </c>
      <c r="B6" s="277"/>
      <c r="C6" s="277"/>
      <c r="D6" s="11"/>
      <c r="E6" s="12"/>
      <c r="F6" s="12" t="s">
        <v>14</v>
      </c>
      <c r="G6" s="13"/>
      <c r="H6" s="12"/>
      <c r="I6" s="12" t="s">
        <v>13</v>
      </c>
      <c r="J6" s="12"/>
      <c r="K6" s="13"/>
      <c r="L6" s="11"/>
      <c r="M6" s="12"/>
      <c r="N6" s="6" t="s">
        <v>1</v>
      </c>
      <c r="O6" s="12"/>
      <c r="P6" s="12"/>
      <c r="Q6" s="12"/>
      <c r="R6" s="21"/>
      <c r="S6" s="21"/>
      <c r="T6" s="17" t="s">
        <v>15</v>
      </c>
    </row>
    <row r="7" spans="1:29" ht="48.95" customHeight="1" x14ac:dyDescent="0.2">
      <c r="A7" s="20" t="s">
        <v>2</v>
      </c>
      <c r="B7" s="20" t="s">
        <v>507</v>
      </c>
      <c r="C7" s="3" t="s">
        <v>3</v>
      </c>
      <c r="D7" s="14" t="s">
        <v>4</v>
      </c>
      <c r="E7" s="15" t="s">
        <v>5</v>
      </c>
      <c r="F7" s="14" t="s">
        <v>6</v>
      </c>
      <c r="G7" s="14" t="s">
        <v>3</v>
      </c>
      <c r="H7" s="3" t="s">
        <v>10</v>
      </c>
      <c r="I7" s="3" t="s">
        <v>5</v>
      </c>
      <c r="J7" s="20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6" t="s">
        <v>3</v>
      </c>
      <c r="R7" s="16" t="s">
        <v>17</v>
      </c>
      <c r="S7" s="16" t="s">
        <v>18</v>
      </c>
      <c r="T7" s="3" t="s">
        <v>16</v>
      </c>
    </row>
    <row r="8" spans="1:29" ht="14.25" customHeight="1" x14ac:dyDescent="0.2">
      <c r="A8" s="363" t="s">
        <v>348</v>
      </c>
      <c r="B8" s="348">
        <v>15</v>
      </c>
      <c r="C8" s="348">
        <v>2</v>
      </c>
      <c r="D8" s="363" t="s">
        <v>268</v>
      </c>
      <c r="E8" s="332">
        <v>3400</v>
      </c>
      <c r="F8" s="369" t="s">
        <v>19</v>
      </c>
      <c r="G8" s="348">
        <f>C8*F8</f>
        <v>2</v>
      </c>
      <c r="H8" s="348" t="s">
        <v>260</v>
      </c>
      <c r="I8" s="386" t="s">
        <v>508</v>
      </c>
      <c r="J8" s="388" t="str">
        <f>IF((AND(B8=30,E8=3400)),"12",IF((AND(B8=25,E8=3400)),"10",IF((AND(B8=20,E8=3400)),"8",IF((AND(B8=15,E8=3400)),"6",IF((AND(B8=30,E8=5100)),"18",IF((AND(B8=25,E8=5100)),"15",IF((AND(B8=20,E8=5100)),"12",IF((AND(B8=15,E8=5100)),"9"))))))))</f>
        <v>6</v>
      </c>
      <c r="K8" s="348">
        <f>J8*G8</f>
        <v>12</v>
      </c>
      <c r="L8" s="85" t="s">
        <v>19</v>
      </c>
      <c r="M8" s="271" t="s">
        <v>509</v>
      </c>
      <c r="N8" s="156" t="s">
        <v>510</v>
      </c>
      <c r="O8" s="157">
        <f>2*$J$8</f>
        <v>12</v>
      </c>
      <c r="P8" s="157">
        <f>O8*$F$8</f>
        <v>12</v>
      </c>
      <c r="Q8" s="157">
        <f>P8*$C$8</f>
        <v>24</v>
      </c>
      <c r="R8" s="157">
        <f>7*$Q$8</f>
        <v>168</v>
      </c>
      <c r="S8" s="158" t="s">
        <v>511</v>
      </c>
      <c r="T8" s="159"/>
    </row>
    <row r="9" spans="1:29" ht="14.25" customHeight="1" x14ac:dyDescent="0.2">
      <c r="A9" s="364"/>
      <c r="B9" s="349"/>
      <c r="C9" s="349"/>
      <c r="D9" s="364"/>
      <c r="E9" s="333"/>
      <c r="F9" s="385"/>
      <c r="G9" s="349"/>
      <c r="H9" s="349"/>
      <c r="I9" s="386"/>
      <c r="J9" s="389"/>
      <c r="K9" s="349"/>
      <c r="L9" s="85" t="s">
        <v>21</v>
      </c>
      <c r="M9" s="271" t="s">
        <v>512</v>
      </c>
      <c r="N9" s="160" t="s">
        <v>513</v>
      </c>
      <c r="O9" s="157">
        <f t="shared" ref="O9:O10" si="0">2*$J$8</f>
        <v>12</v>
      </c>
      <c r="P9" s="157">
        <f t="shared" ref="P9:P26" si="1">O9*$F$8</f>
        <v>12</v>
      </c>
      <c r="Q9" s="157">
        <f t="shared" ref="Q9:Q26" si="2">P9*$C$8</f>
        <v>24</v>
      </c>
      <c r="R9" s="160">
        <f>7.2*Q9</f>
        <v>172.8</v>
      </c>
      <c r="S9" s="158" t="s">
        <v>511</v>
      </c>
      <c r="T9" s="161"/>
    </row>
    <row r="10" spans="1:29" ht="14.25" customHeight="1" x14ac:dyDescent="0.2">
      <c r="A10" s="364"/>
      <c r="B10" s="349"/>
      <c r="C10" s="349"/>
      <c r="D10" s="364"/>
      <c r="E10" s="333"/>
      <c r="F10" s="385"/>
      <c r="G10" s="349"/>
      <c r="H10" s="349"/>
      <c r="I10" s="386"/>
      <c r="J10" s="389"/>
      <c r="K10" s="349"/>
      <c r="L10" s="85" t="s">
        <v>23</v>
      </c>
      <c r="M10" s="271" t="s">
        <v>514</v>
      </c>
      <c r="N10" s="156" t="s">
        <v>515</v>
      </c>
      <c r="O10" s="157">
        <f t="shared" si="0"/>
        <v>12</v>
      </c>
      <c r="P10" s="157">
        <f t="shared" si="1"/>
        <v>12</v>
      </c>
      <c r="Q10" s="157">
        <f t="shared" si="2"/>
        <v>24</v>
      </c>
      <c r="R10" s="157">
        <f>3.6*Q10</f>
        <v>86.4</v>
      </c>
      <c r="S10" s="158" t="s">
        <v>511</v>
      </c>
      <c r="T10" s="161"/>
    </row>
    <row r="11" spans="1:29" ht="14.25" customHeight="1" thickBot="1" x14ac:dyDescent="0.25">
      <c r="A11" s="364"/>
      <c r="B11" s="349"/>
      <c r="C11" s="349"/>
      <c r="D11" s="364"/>
      <c r="E11" s="333"/>
      <c r="F11" s="385"/>
      <c r="G11" s="349"/>
      <c r="H11" s="377"/>
      <c r="I11" s="387"/>
      <c r="J11" s="390"/>
      <c r="K11" s="377"/>
      <c r="L11" s="162" t="s">
        <v>26</v>
      </c>
      <c r="M11" s="272" t="s">
        <v>135</v>
      </c>
      <c r="N11" s="163" t="s">
        <v>516</v>
      </c>
      <c r="O11" s="164" t="str">
        <f>$J$8</f>
        <v>6</v>
      </c>
      <c r="P11" s="164">
        <f t="shared" si="1"/>
        <v>6</v>
      </c>
      <c r="Q11" s="164">
        <f t="shared" si="2"/>
        <v>12</v>
      </c>
      <c r="R11" s="164">
        <f>1.9*Q11</f>
        <v>22.799999999999997</v>
      </c>
      <c r="S11" s="165" t="s">
        <v>511</v>
      </c>
      <c r="T11" s="166"/>
    </row>
    <row r="12" spans="1:29" ht="14.25" customHeight="1" x14ac:dyDescent="0.2">
      <c r="A12" s="364"/>
      <c r="B12" s="349"/>
      <c r="C12" s="349"/>
      <c r="D12" s="364"/>
      <c r="E12" s="333"/>
      <c r="F12" s="385"/>
      <c r="G12" s="349"/>
      <c r="H12" s="376" t="s">
        <v>265</v>
      </c>
      <c r="I12" s="373" t="s">
        <v>517</v>
      </c>
      <c r="J12" s="376">
        <v>2</v>
      </c>
      <c r="K12" s="376">
        <f>J12*G8</f>
        <v>4</v>
      </c>
      <c r="L12" s="167">
        <v>1</v>
      </c>
      <c r="M12" s="273" t="s">
        <v>518</v>
      </c>
      <c r="N12" s="168" t="s">
        <v>519</v>
      </c>
      <c r="O12" s="169">
        <v>1</v>
      </c>
      <c r="P12" s="169">
        <f t="shared" si="1"/>
        <v>1</v>
      </c>
      <c r="Q12" s="170">
        <f t="shared" si="2"/>
        <v>2</v>
      </c>
      <c r="R12" s="170">
        <f>Q12*5.7</f>
        <v>11.4</v>
      </c>
      <c r="S12" s="171" t="s">
        <v>511</v>
      </c>
      <c r="T12" s="172"/>
      <c r="U12" s="173"/>
      <c r="V12" s="174"/>
      <c r="W12" s="175"/>
      <c r="X12" s="174"/>
      <c r="Y12" s="174"/>
      <c r="Z12" s="174"/>
      <c r="AA12" s="174"/>
      <c r="AB12" s="174"/>
      <c r="AC12" s="176"/>
    </row>
    <row r="13" spans="1:29" ht="14.25" customHeight="1" x14ac:dyDescent="0.2">
      <c r="A13" s="364"/>
      <c r="B13" s="349"/>
      <c r="C13" s="349"/>
      <c r="D13" s="364"/>
      <c r="E13" s="333"/>
      <c r="F13" s="385"/>
      <c r="G13" s="349"/>
      <c r="H13" s="349"/>
      <c r="I13" s="374"/>
      <c r="J13" s="349"/>
      <c r="K13" s="349"/>
      <c r="L13" s="85">
        <v>2</v>
      </c>
      <c r="M13" s="271" t="s">
        <v>520</v>
      </c>
      <c r="N13" s="177" t="s">
        <v>521</v>
      </c>
      <c r="O13" s="157">
        <v>1</v>
      </c>
      <c r="P13" s="157">
        <f t="shared" si="1"/>
        <v>1</v>
      </c>
      <c r="Q13" s="178">
        <f t="shared" si="2"/>
        <v>2</v>
      </c>
      <c r="R13" s="178">
        <f>Q13*6.6</f>
        <v>13.2</v>
      </c>
      <c r="S13" s="158" t="s">
        <v>511</v>
      </c>
      <c r="T13" s="161"/>
      <c r="U13" s="173"/>
      <c r="V13" s="174"/>
      <c r="W13" s="175"/>
      <c r="X13" s="174"/>
      <c r="Y13" s="174"/>
      <c r="Z13" s="179"/>
      <c r="AA13" s="179"/>
      <c r="AB13" s="179"/>
      <c r="AC13" s="176"/>
    </row>
    <row r="14" spans="1:29" ht="14.25" customHeight="1" x14ac:dyDescent="0.2">
      <c r="A14" s="364"/>
      <c r="B14" s="349"/>
      <c r="C14" s="349"/>
      <c r="D14" s="364"/>
      <c r="E14" s="333"/>
      <c r="F14" s="385"/>
      <c r="G14" s="349"/>
      <c r="H14" s="349"/>
      <c r="I14" s="374"/>
      <c r="J14" s="349"/>
      <c r="K14" s="349"/>
      <c r="L14" s="85">
        <v>3</v>
      </c>
      <c r="M14" s="271" t="s">
        <v>522</v>
      </c>
      <c r="N14" s="156" t="s">
        <v>523</v>
      </c>
      <c r="O14" s="156">
        <f>4</f>
        <v>4</v>
      </c>
      <c r="P14" s="156">
        <f t="shared" si="1"/>
        <v>4</v>
      </c>
      <c r="Q14" s="178">
        <f t="shared" si="2"/>
        <v>8</v>
      </c>
      <c r="R14" s="178">
        <f>7.5*Q14</f>
        <v>60</v>
      </c>
      <c r="S14" s="158" t="s">
        <v>511</v>
      </c>
      <c r="T14" s="161"/>
      <c r="U14" s="57"/>
      <c r="V14" s="57"/>
      <c r="W14" s="57"/>
      <c r="X14" s="57"/>
      <c r="Y14" s="57"/>
      <c r="Z14" s="57"/>
      <c r="AA14" s="57"/>
      <c r="AB14" s="57"/>
      <c r="AC14" s="57"/>
    </row>
    <row r="15" spans="1:29" ht="14.25" customHeight="1" thickBot="1" x14ac:dyDescent="0.25">
      <c r="A15" s="364"/>
      <c r="B15" s="349"/>
      <c r="C15" s="349"/>
      <c r="D15" s="364"/>
      <c r="E15" s="333"/>
      <c r="F15" s="385"/>
      <c r="G15" s="349"/>
      <c r="H15" s="377"/>
      <c r="I15" s="375"/>
      <c r="J15" s="377"/>
      <c r="K15" s="377"/>
      <c r="L15" s="162">
        <v>4</v>
      </c>
      <c r="M15" s="272" t="s">
        <v>524</v>
      </c>
      <c r="N15" s="180" t="s">
        <v>525</v>
      </c>
      <c r="O15" s="181" t="str">
        <f>IF(B8=30,"6",IF(B8=25,"5",IF(B8=20,"4",IF(B8=15,"3"))))</f>
        <v>3</v>
      </c>
      <c r="P15" s="182">
        <f t="shared" si="1"/>
        <v>3</v>
      </c>
      <c r="Q15" s="183">
        <f t="shared" si="2"/>
        <v>6</v>
      </c>
      <c r="R15" s="183">
        <f>Q15*0.52</f>
        <v>3.12</v>
      </c>
      <c r="S15" s="165" t="s">
        <v>511</v>
      </c>
      <c r="T15" s="166"/>
      <c r="U15" s="57"/>
      <c r="V15" s="57"/>
      <c r="W15" s="57"/>
      <c r="X15" s="57"/>
      <c r="Y15" s="57"/>
      <c r="Z15" s="57"/>
      <c r="AA15" s="57"/>
      <c r="AB15" s="57"/>
      <c r="AC15" s="57"/>
    </row>
    <row r="16" spans="1:29" ht="14.25" customHeight="1" x14ac:dyDescent="0.2">
      <c r="A16" s="364"/>
      <c r="B16" s="349"/>
      <c r="C16" s="349"/>
      <c r="D16" s="364"/>
      <c r="E16" s="333"/>
      <c r="F16" s="385"/>
      <c r="G16" s="349"/>
      <c r="H16" s="317" t="s">
        <v>268</v>
      </c>
      <c r="I16" s="381" t="s">
        <v>526</v>
      </c>
      <c r="J16" s="317">
        <v>1</v>
      </c>
      <c r="K16" s="317">
        <f>J16*G8</f>
        <v>2</v>
      </c>
      <c r="L16" s="131">
        <v>1</v>
      </c>
      <c r="M16" s="274" t="s">
        <v>527</v>
      </c>
      <c r="N16" s="184" t="str">
        <f>IF(B8=30,"UPN40,L=6600",IF(B8=20,"UPN40,L=4600",IF(B8=25,"UPN40,L=5600",IF(B8=15,"UPN40,L=3600"))))</f>
        <v>UPN40,L=3600</v>
      </c>
      <c r="O16" s="185">
        <v>1</v>
      </c>
      <c r="P16" s="185">
        <f t="shared" si="1"/>
        <v>1</v>
      </c>
      <c r="Q16" s="186">
        <f t="shared" si="2"/>
        <v>2</v>
      </c>
      <c r="R16" s="45">
        <f>(IF(B8=30,"12.4",IF(B8=20,"8.7",IF(B8=25,"10.6",IF(B8=15,"6.8")))))*Q16</f>
        <v>13.6</v>
      </c>
      <c r="S16" s="153" t="s">
        <v>511</v>
      </c>
      <c r="T16" s="187"/>
      <c r="U16" s="57"/>
      <c r="V16" s="57"/>
      <c r="W16" s="57"/>
      <c r="X16" s="57"/>
      <c r="Y16" s="57"/>
      <c r="Z16" s="57"/>
      <c r="AA16" s="57"/>
      <c r="AB16" s="57"/>
      <c r="AC16" s="57"/>
    </row>
    <row r="17" spans="1:29" ht="14.25" customHeight="1" thickBot="1" x14ac:dyDescent="0.25">
      <c r="A17" s="364"/>
      <c r="B17" s="349"/>
      <c r="C17" s="349"/>
      <c r="D17" s="364"/>
      <c r="E17" s="333"/>
      <c r="F17" s="385"/>
      <c r="G17" s="349"/>
      <c r="H17" s="318"/>
      <c r="I17" s="382"/>
      <c r="J17" s="318"/>
      <c r="K17" s="318"/>
      <c r="L17" s="162">
        <v>2</v>
      </c>
      <c r="M17" s="272" t="s">
        <v>528</v>
      </c>
      <c r="N17" s="163" t="s">
        <v>529</v>
      </c>
      <c r="O17" s="164">
        <v>6</v>
      </c>
      <c r="P17" s="164">
        <f t="shared" si="1"/>
        <v>6</v>
      </c>
      <c r="Q17" s="183">
        <f t="shared" si="2"/>
        <v>12</v>
      </c>
      <c r="R17" s="183">
        <f>0.1*Q17</f>
        <v>1.2000000000000002</v>
      </c>
      <c r="S17" s="165" t="s">
        <v>511</v>
      </c>
      <c r="T17" s="166"/>
      <c r="U17" s="57"/>
      <c r="V17" s="57"/>
      <c r="W17" s="57"/>
      <c r="X17" s="57"/>
      <c r="Y17" s="57"/>
      <c r="Z17" s="57"/>
      <c r="AA17" s="57"/>
      <c r="AB17" s="57"/>
      <c r="AC17" s="57"/>
    </row>
    <row r="18" spans="1:29" ht="14.25" customHeight="1" x14ac:dyDescent="0.2">
      <c r="A18" s="364"/>
      <c r="B18" s="349"/>
      <c r="C18" s="349"/>
      <c r="D18" s="364"/>
      <c r="E18" s="333"/>
      <c r="F18" s="385"/>
      <c r="G18" s="349"/>
      <c r="H18" s="383" t="s">
        <v>348</v>
      </c>
      <c r="I18" s="376" t="s">
        <v>530</v>
      </c>
      <c r="J18" s="376" t="str">
        <f>J8</f>
        <v>6</v>
      </c>
      <c r="K18" s="376">
        <f>J18*G8</f>
        <v>12</v>
      </c>
      <c r="L18" s="167">
        <v>1</v>
      </c>
      <c r="M18" s="273" t="s">
        <v>531</v>
      </c>
      <c r="N18" s="188" t="s">
        <v>532</v>
      </c>
      <c r="O18" s="169" t="str">
        <f>J18</f>
        <v>6</v>
      </c>
      <c r="P18" s="169">
        <f t="shared" si="1"/>
        <v>6</v>
      </c>
      <c r="Q18" s="169">
        <f t="shared" si="2"/>
        <v>12</v>
      </c>
      <c r="R18" s="169">
        <f>Q18</f>
        <v>12</v>
      </c>
      <c r="S18" s="171" t="s">
        <v>533</v>
      </c>
      <c r="T18" s="172"/>
      <c r="U18" s="173"/>
      <c r="V18" s="175"/>
      <c r="W18" s="175"/>
      <c r="X18" s="189"/>
      <c r="Y18" s="189"/>
      <c r="Z18" s="179"/>
      <c r="AA18" s="179"/>
      <c r="AB18" s="179"/>
      <c r="AC18" s="176"/>
    </row>
    <row r="19" spans="1:29" ht="14.25" customHeight="1" thickBot="1" x14ac:dyDescent="0.25">
      <c r="A19" s="364"/>
      <c r="B19" s="349"/>
      <c r="C19" s="349"/>
      <c r="D19" s="364"/>
      <c r="E19" s="333"/>
      <c r="F19" s="385"/>
      <c r="G19" s="349"/>
      <c r="H19" s="384"/>
      <c r="I19" s="377"/>
      <c r="J19" s="377"/>
      <c r="K19" s="377"/>
      <c r="L19" s="162">
        <v>2</v>
      </c>
      <c r="M19" s="272" t="s">
        <v>534</v>
      </c>
      <c r="N19" s="163" t="s">
        <v>535</v>
      </c>
      <c r="O19" s="164" t="str">
        <f>O18</f>
        <v>6</v>
      </c>
      <c r="P19" s="164">
        <f t="shared" si="1"/>
        <v>6</v>
      </c>
      <c r="Q19" s="164">
        <f t="shared" si="2"/>
        <v>12</v>
      </c>
      <c r="R19" s="164">
        <f>0.8*Q19</f>
        <v>9.6000000000000014</v>
      </c>
      <c r="S19" s="165" t="s">
        <v>511</v>
      </c>
      <c r="T19" s="166"/>
      <c r="U19" s="173"/>
      <c r="V19" s="174"/>
      <c r="W19" s="175"/>
      <c r="X19" s="174"/>
      <c r="Y19" s="174"/>
      <c r="Z19" s="179"/>
      <c r="AA19" s="179"/>
      <c r="AB19" s="179"/>
      <c r="AC19" s="176"/>
    </row>
    <row r="20" spans="1:29" ht="15" customHeight="1" x14ac:dyDescent="0.2">
      <c r="A20" s="364"/>
      <c r="B20" s="349"/>
      <c r="C20" s="349"/>
      <c r="D20" s="364"/>
      <c r="E20" s="333"/>
      <c r="F20" s="385"/>
      <c r="G20" s="349"/>
      <c r="H20" s="383" t="s">
        <v>259</v>
      </c>
      <c r="I20" s="376" t="s">
        <v>536</v>
      </c>
      <c r="J20" s="376" t="str">
        <f>IF(B8=30,"12",IF(B8=25,"10",IF(B8=20,"8",IF(B8=15,"6"))))</f>
        <v>6</v>
      </c>
      <c r="K20" s="376">
        <f>G8*J20</f>
        <v>12</v>
      </c>
      <c r="L20" s="167">
        <v>1</v>
      </c>
      <c r="M20" s="273" t="s">
        <v>537</v>
      </c>
      <c r="N20" s="190" t="str">
        <f>IF(B8=30,"4x162x1415",IF(B8=25,"4x162x1165",IF(B8=20,"4x162x915",IF(B8=15,"4x162x665"))))</f>
        <v>4x162x665</v>
      </c>
      <c r="O20" s="169">
        <f t="shared" ref="O20" si="3">2*$J$8</f>
        <v>12</v>
      </c>
      <c r="P20" s="169">
        <f t="shared" si="1"/>
        <v>12</v>
      </c>
      <c r="Q20" s="169">
        <f t="shared" si="2"/>
        <v>24</v>
      </c>
      <c r="R20" s="190">
        <f>(IF(B8=30,"7.2",IF(B8=25,"5.9",IF(B8=20,"4.6",IF(B8=15,"3.3")))))*Q20</f>
        <v>79.199999999999989</v>
      </c>
      <c r="S20" s="171" t="s">
        <v>511</v>
      </c>
      <c r="T20" s="172"/>
      <c r="U20" s="57"/>
      <c r="V20" s="57"/>
      <c r="W20" s="57"/>
      <c r="X20" s="57"/>
      <c r="Y20" s="57"/>
      <c r="Z20" s="57"/>
      <c r="AA20" s="57"/>
      <c r="AB20" s="57"/>
      <c r="AC20" s="57"/>
    </row>
    <row r="21" spans="1:29" ht="14.25" customHeight="1" thickBot="1" x14ac:dyDescent="0.25">
      <c r="A21" s="364"/>
      <c r="B21" s="349"/>
      <c r="C21" s="349"/>
      <c r="D21" s="364"/>
      <c r="E21" s="333"/>
      <c r="F21" s="385"/>
      <c r="G21" s="349"/>
      <c r="H21" s="384"/>
      <c r="I21" s="377"/>
      <c r="J21" s="377"/>
      <c r="K21" s="377"/>
      <c r="L21" s="162">
        <v>2</v>
      </c>
      <c r="M21" s="272" t="s">
        <v>538</v>
      </c>
      <c r="N21" s="192" t="s">
        <v>539</v>
      </c>
      <c r="O21" s="164">
        <f>2*J20</f>
        <v>12</v>
      </c>
      <c r="P21" s="164">
        <f>O21*F8</f>
        <v>12</v>
      </c>
      <c r="Q21" s="183">
        <f>P21*C8</f>
        <v>24</v>
      </c>
      <c r="R21" s="183">
        <f>0.088*Q21</f>
        <v>2.1120000000000001</v>
      </c>
      <c r="S21" s="165" t="s">
        <v>511</v>
      </c>
      <c r="T21" s="166"/>
      <c r="U21" s="57"/>
      <c r="V21" s="57"/>
      <c r="W21" s="57"/>
      <c r="X21" s="57"/>
      <c r="Y21" s="57"/>
      <c r="Z21" s="57"/>
      <c r="AA21" s="57"/>
      <c r="AB21" s="57"/>
      <c r="AC21" s="57"/>
    </row>
    <row r="22" spans="1:29" ht="14.25" customHeight="1" x14ac:dyDescent="0.2">
      <c r="A22" s="364"/>
      <c r="B22" s="349"/>
      <c r="C22" s="349"/>
      <c r="D22" s="364"/>
      <c r="E22" s="333"/>
      <c r="F22" s="385"/>
      <c r="G22" s="349"/>
      <c r="H22" s="193"/>
      <c r="I22" s="194" t="s">
        <v>540</v>
      </c>
      <c r="J22" s="193"/>
      <c r="K22" s="193"/>
      <c r="L22" s="131">
        <v>1</v>
      </c>
      <c r="M22" s="274" t="s">
        <v>540</v>
      </c>
      <c r="N22" s="195" t="s">
        <v>523</v>
      </c>
      <c r="O22" s="195">
        <f>IF(E8="درام5100",2,0)</f>
        <v>0</v>
      </c>
      <c r="P22" s="196">
        <f>O22*$F$8</f>
        <v>0</v>
      </c>
      <c r="Q22" s="186">
        <f>P22*$C$8</f>
        <v>0</v>
      </c>
      <c r="R22" s="186">
        <f>7.5*Q22</f>
        <v>0</v>
      </c>
      <c r="S22" s="153" t="s">
        <v>511</v>
      </c>
      <c r="T22" s="187"/>
      <c r="U22" s="173"/>
    </row>
    <row r="23" spans="1:29" ht="14.25" customHeight="1" x14ac:dyDescent="0.2">
      <c r="A23" s="364"/>
      <c r="B23" s="349"/>
      <c r="C23" s="349"/>
      <c r="D23" s="364"/>
      <c r="E23" s="333"/>
      <c r="F23" s="385"/>
      <c r="G23" s="349"/>
      <c r="H23" s="197"/>
      <c r="I23" s="198" t="s">
        <v>541</v>
      </c>
      <c r="J23" s="197"/>
      <c r="K23" s="197"/>
      <c r="L23" s="85">
        <v>2</v>
      </c>
      <c r="M23" s="271" t="s">
        <v>541</v>
      </c>
      <c r="N23" s="160" t="str">
        <f>IF(B8=30,"1.5x1000x4000",IF(B8=25,"1.5x1250x2500",IF(B8=20,"1.5x1000x2000",IF(B8=15,"1.5x1000x1500"))))</f>
        <v>1.5x1000x1500</v>
      </c>
      <c r="O23" s="157">
        <v>2</v>
      </c>
      <c r="P23" s="157">
        <f>O23*$F$8</f>
        <v>2</v>
      </c>
      <c r="Q23" s="178">
        <f>P23*$C$8</f>
        <v>4</v>
      </c>
      <c r="R23" s="160">
        <f>(IF(B8=30,"41.6",IF(B8=25,"28.9",IF(B8=20,"18.5",IF(B8=15,"10.4")))))*Q23</f>
        <v>41.6</v>
      </c>
      <c r="S23" s="158" t="s">
        <v>511</v>
      </c>
      <c r="T23" s="161"/>
      <c r="U23" s="173"/>
    </row>
    <row r="24" spans="1:29" ht="14.25" customHeight="1" x14ac:dyDescent="0.2">
      <c r="A24" s="364"/>
      <c r="B24" s="349"/>
      <c r="C24" s="349"/>
      <c r="D24" s="364"/>
      <c r="E24" s="333"/>
      <c r="F24" s="385"/>
      <c r="G24" s="349"/>
      <c r="H24" s="85" t="s">
        <v>44</v>
      </c>
      <c r="I24" s="198" t="s">
        <v>542</v>
      </c>
      <c r="J24" s="85" t="s">
        <v>44</v>
      </c>
      <c r="K24" s="85" t="s">
        <v>44</v>
      </c>
      <c r="L24" s="85">
        <v>3</v>
      </c>
      <c r="M24" s="271" t="s">
        <v>542</v>
      </c>
      <c r="N24" s="156" t="s">
        <v>543</v>
      </c>
      <c r="O24" s="157" t="str">
        <f>IF((AND(B8=30,E8=3400)),"12",IF((AND(B8=25,E8=3400)),"10",IF((AND(B8=20,E8=3400)),"8",IF((AND(B8=15,E8=3400)),"6",IF((AND(B8=30,E8=5100)),"36",IF((AND(B8=25,E8=5100)),"30",IF((AND(B8=20,E8=5100)),"24",IF((AND(B8=15,E8=5100)),"18"))))))))</f>
        <v>6</v>
      </c>
      <c r="P24" s="157">
        <f t="shared" si="1"/>
        <v>6</v>
      </c>
      <c r="Q24" s="178">
        <f t="shared" si="2"/>
        <v>12</v>
      </c>
      <c r="R24" s="178">
        <f>1.3*Q24</f>
        <v>15.600000000000001</v>
      </c>
      <c r="S24" s="158" t="s">
        <v>511</v>
      </c>
      <c r="T24" s="161"/>
      <c r="U24" s="173"/>
      <c r="V24" s="174"/>
      <c r="W24" s="175"/>
      <c r="X24" s="174"/>
      <c r="Y24" s="174"/>
      <c r="Z24" s="174"/>
      <c r="AA24" s="174"/>
      <c r="AB24" s="174"/>
      <c r="AC24" s="176"/>
    </row>
    <row r="25" spans="1:29" ht="14.25" customHeight="1" x14ac:dyDescent="0.2">
      <c r="A25" s="364"/>
      <c r="B25" s="349"/>
      <c r="C25" s="349"/>
      <c r="D25" s="364"/>
      <c r="E25" s="333"/>
      <c r="F25" s="385"/>
      <c r="G25" s="349"/>
      <c r="H25" s="85" t="s">
        <v>44</v>
      </c>
      <c r="I25" s="198" t="s">
        <v>544</v>
      </c>
      <c r="J25" s="85" t="s">
        <v>44</v>
      </c>
      <c r="K25" s="85" t="s">
        <v>44</v>
      </c>
      <c r="L25" s="85">
        <v>4</v>
      </c>
      <c r="M25" s="271" t="s">
        <v>544</v>
      </c>
      <c r="N25" s="156" t="s">
        <v>545</v>
      </c>
      <c r="O25" s="157" t="str">
        <f>IF((AND(B8=30,E8=3400)),"12",IF((AND(B8=25,E8=3400)),"10",IF((AND(B8=20,E8=3400)),"8",IF((AND(B8=15,E8=3400)),"6",IF((AND(B8=30,E8=5100)),"18",IF((AND(B8=25,E8=5100)),"15",IF((AND(B8=20,E8=5100)),"12",IF((AND(B8=15,E8=5100)),"9"))))))))</f>
        <v>6</v>
      </c>
      <c r="P25" s="157">
        <f t="shared" si="1"/>
        <v>6</v>
      </c>
      <c r="Q25" s="157">
        <f t="shared" si="2"/>
        <v>12</v>
      </c>
      <c r="R25" s="157">
        <f>2.6*Q25</f>
        <v>31.200000000000003</v>
      </c>
      <c r="S25" s="158" t="s">
        <v>511</v>
      </c>
      <c r="T25" s="161"/>
      <c r="U25" s="173"/>
      <c r="V25" s="174"/>
      <c r="W25" s="175"/>
      <c r="X25" s="174"/>
      <c r="Y25" s="174"/>
      <c r="Z25" s="174"/>
      <c r="AA25" s="174"/>
      <c r="AB25" s="174"/>
      <c r="AC25" s="176"/>
    </row>
    <row r="26" spans="1:29" ht="14.25" customHeight="1" x14ac:dyDescent="0.2">
      <c r="A26" s="365"/>
      <c r="B26" s="350"/>
      <c r="C26" s="350"/>
      <c r="D26" s="365"/>
      <c r="E26" s="334"/>
      <c r="F26" s="370"/>
      <c r="G26" s="350"/>
      <c r="H26" s="85" t="s">
        <v>44</v>
      </c>
      <c r="I26" s="198" t="s">
        <v>546</v>
      </c>
      <c r="J26" s="85" t="s">
        <v>44</v>
      </c>
      <c r="K26" s="85" t="s">
        <v>44</v>
      </c>
      <c r="L26" s="85">
        <v>5</v>
      </c>
      <c r="M26" s="271" t="s">
        <v>546</v>
      </c>
      <c r="N26" s="160" t="str">
        <f>IF(B8=30,"1x32x9600",IF(B8=25,"1x32x8000",IF(B8=20,"1x32x6500",IF(B8=15,"1x32x5000"))))</f>
        <v>1x32x5000</v>
      </c>
      <c r="O26" s="157">
        <f>IF(E8="درام5100",6,4)</f>
        <v>4</v>
      </c>
      <c r="P26" s="157">
        <f t="shared" si="1"/>
        <v>4</v>
      </c>
      <c r="Q26" s="157">
        <f t="shared" si="2"/>
        <v>8</v>
      </c>
      <c r="R26" s="157">
        <f>(IF(B8=30,"2.4",IF(B8=25,"2",IF(B8=20,"1.6",IF(B8=15,"1.2")))))*Q26</f>
        <v>9.6</v>
      </c>
      <c r="S26" s="198" t="s">
        <v>511</v>
      </c>
      <c r="T26" s="199"/>
      <c r="U26" s="173"/>
      <c r="V26" s="174"/>
      <c r="W26" s="175"/>
      <c r="X26" s="174"/>
      <c r="Y26" s="174"/>
      <c r="Z26" s="174"/>
      <c r="AA26" s="174"/>
      <c r="AB26" s="174"/>
      <c r="AC26" s="200"/>
    </row>
    <row r="27" spans="1:29" x14ac:dyDescent="0.2">
      <c r="U27" s="57"/>
      <c r="V27" s="57"/>
      <c r="W27" s="57"/>
      <c r="X27" s="57"/>
      <c r="Y27" s="57"/>
      <c r="Z27" s="57"/>
      <c r="AA27" s="57"/>
      <c r="AB27" s="57"/>
      <c r="AC27" s="57"/>
    </row>
    <row r="29" spans="1:29" x14ac:dyDescent="0.2">
      <c r="P29" s="201"/>
      <c r="Q29" s="201"/>
      <c r="R29" s="201"/>
      <c r="S29" s="201"/>
    </row>
    <row r="37" spans="1:20" ht="19.5" x14ac:dyDescent="0.2">
      <c r="A37" s="276" t="s">
        <v>0</v>
      </c>
      <c r="B37" s="277"/>
      <c r="C37" s="277"/>
      <c r="D37" s="11"/>
      <c r="E37" s="12"/>
      <c r="F37" s="12" t="s">
        <v>14</v>
      </c>
      <c r="G37" s="13"/>
      <c r="H37" s="12"/>
      <c r="I37" s="12" t="s">
        <v>13</v>
      </c>
      <c r="J37" s="12"/>
      <c r="K37" s="13"/>
      <c r="L37" s="11"/>
      <c r="M37" s="12"/>
      <c r="N37" s="6" t="s">
        <v>1</v>
      </c>
      <c r="O37" s="12"/>
      <c r="P37" s="12"/>
      <c r="Q37" s="12"/>
      <c r="R37" s="21"/>
      <c r="S37" s="21"/>
      <c r="T37" s="17" t="s">
        <v>15</v>
      </c>
    </row>
    <row r="38" spans="1:20" ht="50.25" customHeight="1" x14ac:dyDescent="0.2">
      <c r="A38" s="20" t="s">
        <v>2</v>
      </c>
      <c r="B38" s="20" t="s">
        <v>507</v>
      </c>
      <c r="C38" s="3" t="s">
        <v>3</v>
      </c>
      <c r="D38" s="14" t="s">
        <v>4</v>
      </c>
      <c r="E38" s="15" t="s">
        <v>5</v>
      </c>
      <c r="F38" s="14" t="s">
        <v>6</v>
      </c>
      <c r="G38" s="14" t="s">
        <v>3</v>
      </c>
      <c r="H38" s="3" t="s">
        <v>10</v>
      </c>
      <c r="I38" s="3" t="s">
        <v>5</v>
      </c>
      <c r="J38" s="20" t="s">
        <v>12</v>
      </c>
      <c r="K38" s="3" t="s">
        <v>11</v>
      </c>
      <c r="L38" s="1" t="s">
        <v>7</v>
      </c>
      <c r="M38" s="2" t="s">
        <v>5</v>
      </c>
      <c r="N38" s="2" t="s">
        <v>9</v>
      </c>
      <c r="O38" s="3" t="s">
        <v>8</v>
      </c>
      <c r="P38" s="3" t="s">
        <v>6</v>
      </c>
      <c r="Q38" s="16" t="s">
        <v>3</v>
      </c>
      <c r="R38" s="16" t="s">
        <v>17</v>
      </c>
      <c r="S38" s="16" t="s">
        <v>18</v>
      </c>
      <c r="T38" s="3" t="s">
        <v>16</v>
      </c>
    </row>
    <row r="39" spans="1:20" ht="12.95" customHeight="1" x14ac:dyDescent="0.2">
      <c r="A39" s="391" t="s">
        <v>348</v>
      </c>
      <c r="B39" s="378">
        <v>15</v>
      </c>
      <c r="C39" s="391" t="s">
        <v>19</v>
      </c>
      <c r="D39" s="391" t="s">
        <v>268</v>
      </c>
      <c r="E39" s="378">
        <v>3400</v>
      </c>
      <c r="F39" s="369" t="s">
        <v>19</v>
      </c>
      <c r="G39" s="348">
        <f>C39*F39</f>
        <v>1</v>
      </c>
      <c r="H39" s="202" t="s">
        <v>44</v>
      </c>
      <c r="I39" s="202" t="s">
        <v>44</v>
      </c>
      <c r="J39" s="202" t="s">
        <v>44</v>
      </c>
      <c r="K39" s="202" t="s">
        <v>44</v>
      </c>
      <c r="L39" s="85">
        <v>6</v>
      </c>
      <c r="M39" s="198" t="s">
        <v>547</v>
      </c>
      <c r="N39" s="156" t="s">
        <v>44</v>
      </c>
      <c r="O39" s="157">
        <f>O26</f>
        <v>4</v>
      </c>
      <c r="P39" s="157">
        <f>O39*$F$39</f>
        <v>4</v>
      </c>
      <c r="Q39" s="203">
        <f>P39*$C$39</f>
        <v>4</v>
      </c>
      <c r="R39" s="203">
        <f>Q39</f>
        <v>4</v>
      </c>
      <c r="S39" s="204" t="s">
        <v>533</v>
      </c>
      <c r="T39" s="54"/>
    </row>
    <row r="40" spans="1:20" ht="12.95" customHeight="1" x14ac:dyDescent="0.2">
      <c r="A40" s="392"/>
      <c r="B40" s="379"/>
      <c r="C40" s="392"/>
      <c r="D40" s="392"/>
      <c r="E40" s="379"/>
      <c r="F40" s="385"/>
      <c r="G40" s="349"/>
      <c r="H40" s="51" t="s">
        <v>44</v>
      </c>
      <c r="I40" s="154" t="s">
        <v>44</v>
      </c>
      <c r="J40" s="51" t="s">
        <v>44</v>
      </c>
      <c r="K40" s="51" t="s">
        <v>44</v>
      </c>
      <c r="L40" s="131">
        <v>7</v>
      </c>
      <c r="M40" s="205" t="s">
        <v>548</v>
      </c>
      <c r="N40" s="156" t="s">
        <v>549</v>
      </c>
      <c r="O40" s="157">
        <f>O39</f>
        <v>4</v>
      </c>
      <c r="P40" s="157">
        <f t="shared" ref="P40:P57" si="4">O40*$F$39</f>
        <v>4</v>
      </c>
      <c r="Q40" s="186">
        <f t="shared" ref="Q40:Q57" si="5">P40*$C$39</f>
        <v>4</v>
      </c>
      <c r="R40" s="186">
        <f>Q40</f>
        <v>4</v>
      </c>
      <c r="S40" s="153" t="s">
        <v>533</v>
      </c>
      <c r="T40" s="54"/>
    </row>
    <row r="41" spans="1:20" ht="12.95" customHeight="1" x14ac:dyDescent="0.2">
      <c r="A41" s="392"/>
      <c r="B41" s="379"/>
      <c r="C41" s="392"/>
      <c r="D41" s="392"/>
      <c r="E41" s="379"/>
      <c r="F41" s="385"/>
      <c r="G41" s="349"/>
      <c r="H41" s="51" t="s">
        <v>44</v>
      </c>
      <c r="I41" s="154" t="s">
        <v>44</v>
      </c>
      <c r="J41" s="51" t="s">
        <v>44</v>
      </c>
      <c r="K41" s="51" t="s">
        <v>44</v>
      </c>
      <c r="L41" s="85">
        <v>8</v>
      </c>
      <c r="M41" s="198" t="s">
        <v>550</v>
      </c>
      <c r="N41" s="156" t="s">
        <v>549</v>
      </c>
      <c r="O41" s="157">
        <f>O40</f>
        <v>4</v>
      </c>
      <c r="P41" s="157">
        <f t="shared" si="4"/>
        <v>4</v>
      </c>
      <c r="Q41" s="178">
        <f t="shared" si="5"/>
        <v>4</v>
      </c>
      <c r="R41" s="178">
        <f>Q41</f>
        <v>4</v>
      </c>
      <c r="S41" s="158" t="s">
        <v>533</v>
      </c>
      <c r="T41" s="54"/>
    </row>
    <row r="42" spans="1:20" ht="12.95" customHeight="1" thickBot="1" x14ac:dyDescent="0.25">
      <c r="A42" s="392"/>
      <c r="B42" s="379"/>
      <c r="C42" s="392"/>
      <c r="D42" s="392"/>
      <c r="E42" s="379"/>
      <c r="F42" s="385"/>
      <c r="G42" s="349"/>
      <c r="H42" s="206" t="s">
        <v>44</v>
      </c>
      <c r="I42" s="206" t="s">
        <v>44</v>
      </c>
      <c r="J42" s="206" t="s">
        <v>44</v>
      </c>
      <c r="K42" s="206" t="s">
        <v>44</v>
      </c>
      <c r="L42" s="162">
        <v>9</v>
      </c>
      <c r="M42" s="191" t="s">
        <v>551</v>
      </c>
      <c r="N42" s="163" t="s">
        <v>552</v>
      </c>
      <c r="O42" s="164" t="str">
        <f>J8</f>
        <v>6</v>
      </c>
      <c r="P42" s="164">
        <f t="shared" si="4"/>
        <v>6</v>
      </c>
      <c r="Q42" s="183">
        <f t="shared" si="5"/>
        <v>6</v>
      </c>
      <c r="R42" s="183">
        <f>Q42</f>
        <v>6</v>
      </c>
      <c r="S42" s="165" t="s">
        <v>533</v>
      </c>
      <c r="T42" s="73"/>
    </row>
    <row r="43" spans="1:20" ht="12.95" customHeight="1" x14ac:dyDescent="0.2">
      <c r="A43" s="392"/>
      <c r="B43" s="379"/>
      <c r="C43" s="392"/>
      <c r="D43" s="392"/>
      <c r="E43" s="379"/>
      <c r="F43" s="385"/>
      <c r="G43" s="349"/>
      <c r="H43" s="396" t="s">
        <v>388</v>
      </c>
      <c r="I43" s="394" t="s">
        <v>311</v>
      </c>
      <c r="J43" s="394">
        <v>1</v>
      </c>
      <c r="K43" s="394">
        <f>J43*G39</f>
        <v>1</v>
      </c>
      <c r="L43" s="131">
        <v>1</v>
      </c>
      <c r="M43" s="205" t="s">
        <v>553</v>
      </c>
      <c r="N43" s="195" t="s">
        <v>554</v>
      </c>
      <c r="O43" s="45" t="str">
        <f>IF(B39=30,"24",IF(B39=20,"16",IF(B39=25,"20",IF(B39=15,"12"))))</f>
        <v>12</v>
      </c>
      <c r="P43" s="185">
        <f t="shared" si="4"/>
        <v>12</v>
      </c>
      <c r="Q43" s="186">
        <f t="shared" si="5"/>
        <v>12</v>
      </c>
      <c r="R43" s="186">
        <f t="shared" ref="R43:R56" si="6">Q43</f>
        <v>12</v>
      </c>
      <c r="S43" s="153" t="s">
        <v>533</v>
      </c>
      <c r="T43" s="75"/>
    </row>
    <row r="44" spans="1:20" ht="12.95" customHeight="1" x14ac:dyDescent="0.2">
      <c r="A44" s="392"/>
      <c r="B44" s="379"/>
      <c r="C44" s="392"/>
      <c r="D44" s="392"/>
      <c r="E44" s="379"/>
      <c r="F44" s="385"/>
      <c r="G44" s="349"/>
      <c r="H44" s="396"/>
      <c r="I44" s="394"/>
      <c r="J44" s="394"/>
      <c r="K44" s="394"/>
      <c r="L44" s="85">
        <v>2</v>
      </c>
      <c r="M44" s="198" t="s">
        <v>555</v>
      </c>
      <c r="N44" s="156" t="s">
        <v>556</v>
      </c>
      <c r="O44" s="157" t="str">
        <f>O43</f>
        <v>12</v>
      </c>
      <c r="P44" s="157">
        <f t="shared" si="4"/>
        <v>12</v>
      </c>
      <c r="Q44" s="178">
        <f t="shared" si="5"/>
        <v>12</v>
      </c>
      <c r="R44" s="178">
        <f t="shared" si="6"/>
        <v>12</v>
      </c>
      <c r="S44" s="158" t="s">
        <v>533</v>
      </c>
      <c r="T44" s="54"/>
    </row>
    <row r="45" spans="1:20" ht="12.95" customHeight="1" x14ac:dyDescent="0.2">
      <c r="A45" s="392"/>
      <c r="B45" s="379"/>
      <c r="C45" s="392"/>
      <c r="D45" s="392"/>
      <c r="E45" s="379"/>
      <c r="F45" s="385"/>
      <c r="G45" s="349"/>
      <c r="H45" s="396"/>
      <c r="I45" s="394"/>
      <c r="J45" s="394"/>
      <c r="K45" s="394"/>
      <c r="L45" s="131">
        <v>3</v>
      </c>
      <c r="M45" s="198" t="s">
        <v>557</v>
      </c>
      <c r="N45" s="156" t="s">
        <v>558</v>
      </c>
      <c r="O45" s="157" t="str">
        <f>O44</f>
        <v>12</v>
      </c>
      <c r="P45" s="157">
        <f t="shared" si="4"/>
        <v>12</v>
      </c>
      <c r="Q45" s="207">
        <f t="shared" si="5"/>
        <v>12</v>
      </c>
      <c r="R45" s="207">
        <f t="shared" si="6"/>
        <v>12</v>
      </c>
      <c r="S45" s="151" t="s">
        <v>533</v>
      </c>
      <c r="T45" s="54"/>
    </row>
    <row r="46" spans="1:20" ht="12.95" customHeight="1" x14ac:dyDescent="0.2">
      <c r="A46" s="392"/>
      <c r="B46" s="379"/>
      <c r="C46" s="392"/>
      <c r="D46" s="392"/>
      <c r="E46" s="379"/>
      <c r="F46" s="385"/>
      <c r="G46" s="349"/>
      <c r="H46" s="396"/>
      <c r="I46" s="394"/>
      <c r="J46" s="394"/>
      <c r="K46" s="394"/>
      <c r="L46" s="85">
        <v>4</v>
      </c>
      <c r="M46" s="205" t="s">
        <v>559</v>
      </c>
      <c r="N46" s="195" t="s">
        <v>316</v>
      </c>
      <c r="O46" s="185" t="str">
        <f>O24</f>
        <v>6</v>
      </c>
      <c r="P46" s="185">
        <f t="shared" si="4"/>
        <v>6</v>
      </c>
      <c r="Q46" s="178">
        <f t="shared" si="5"/>
        <v>6</v>
      </c>
      <c r="R46" s="178">
        <f t="shared" si="6"/>
        <v>6</v>
      </c>
      <c r="S46" s="158" t="s">
        <v>533</v>
      </c>
      <c r="T46" s="54"/>
    </row>
    <row r="47" spans="1:20" ht="12.95" customHeight="1" x14ac:dyDescent="0.2">
      <c r="A47" s="392"/>
      <c r="B47" s="379"/>
      <c r="C47" s="392"/>
      <c r="D47" s="392"/>
      <c r="E47" s="379"/>
      <c r="F47" s="385"/>
      <c r="G47" s="349"/>
      <c r="H47" s="396"/>
      <c r="I47" s="394"/>
      <c r="J47" s="394"/>
      <c r="K47" s="394"/>
      <c r="L47" s="131">
        <v>5</v>
      </c>
      <c r="M47" s="198" t="s">
        <v>560</v>
      </c>
      <c r="N47" s="156" t="s">
        <v>561</v>
      </c>
      <c r="O47" s="157" t="str">
        <f>O46</f>
        <v>6</v>
      </c>
      <c r="P47" s="157">
        <f t="shared" si="4"/>
        <v>6</v>
      </c>
      <c r="Q47" s="186">
        <f t="shared" si="5"/>
        <v>6</v>
      </c>
      <c r="R47" s="186">
        <f t="shared" si="6"/>
        <v>6</v>
      </c>
      <c r="S47" s="153" t="s">
        <v>533</v>
      </c>
      <c r="T47" s="54"/>
    </row>
    <row r="48" spans="1:20" ht="12.95" customHeight="1" x14ac:dyDescent="0.2">
      <c r="A48" s="392"/>
      <c r="B48" s="379"/>
      <c r="C48" s="392"/>
      <c r="D48" s="392"/>
      <c r="E48" s="379"/>
      <c r="F48" s="385"/>
      <c r="G48" s="349"/>
      <c r="H48" s="396"/>
      <c r="I48" s="394"/>
      <c r="J48" s="394"/>
      <c r="K48" s="394"/>
      <c r="L48" s="85">
        <v>6</v>
      </c>
      <c r="M48" s="198" t="s">
        <v>562</v>
      </c>
      <c r="N48" s="156" t="s">
        <v>313</v>
      </c>
      <c r="O48" s="157">
        <f>J8*11</f>
        <v>66</v>
      </c>
      <c r="P48" s="157">
        <f t="shared" si="4"/>
        <v>66</v>
      </c>
      <c r="Q48" s="186">
        <f t="shared" si="5"/>
        <v>66</v>
      </c>
      <c r="R48" s="186">
        <f t="shared" si="6"/>
        <v>66</v>
      </c>
      <c r="S48" s="153" t="s">
        <v>533</v>
      </c>
      <c r="T48" s="54"/>
    </row>
    <row r="49" spans="1:20" ht="12.95" customHeight="1" x14ac:dyDescent="0.2">
      <c r="A49" s="392"/>
      <c r="B49" s="379"/>
      <c r="C49" s="392"/>
      <c r="D49" s="392"/>
      <c r="E49" s="379"/>
      <c r="F49" s="385"/>
      <c r="G49" s="349"/>
      <c r="H49" s="396"/>
      <c r="I49" s="394"/>
      <c r="J49" s="394"/>
      <c r="K49" s="394"/>
      <c r="L49" s="131">
        <v>7</v>
      </c>
      <c r="M49" s="198" t="s">
        <v>563</v>
      </c>
      <c r="N49" s="156" t="s">
        <v>561</v>
      </c>
      <c r="O49" s="157">
        <f>O48</f>
        <v>66</v>
      </c>
      <c r="P49" s="157">
        <f t="shared" si="4"/>
        <v>66</v>
      </c>
      <c r="Q49" s="178">
        <f t="shared" si="5"/>
        <v>66</v>
      </c>
      <c r="R49" s="178">
        <f t="shared" si="6"/>
        <v>66</v>
      </c>
      <c r="S49" s="158" t="s">
        <v>533</v>
      </c>
      <c r="T49" s="54"/>
    </row>
    <row r="50" spans="1:20" ht="12.95" customHeight="1" x14ac:dyDescent="0.2">
      <c r="A50" s="392"/>
      <c r="B50" s="379"/>
      <c r="C50" s="392"/>
      <c r="D50" s="392"/>
      <c r="E50" s="379"/>
      <c r="F50" s="385"/>
      <c r="G50" s="349"/>
      <c r="H50" s="396"/>
      <c r="I50" s="394"/>
      <c r="J50" s="394"/>
      <c r="K50" s="394"/>
      <c r="L50" s="85">
        <v>8</v>
      </c>
      <c r="M50" s="198" t="s">
        <v>564</v>
      </c>
      <c r="N50" s="156" t="s">
        <v>439</v>
      </c>
      <c r="O50" s="157">
        <f>O49</f>
        <v>66</v>
      </c>
      <c r="P50" s="157">
        <f t="shared" si="4"/>
        <v>66</v>
      </c>
      <c r="Q50" s="178">
        <f t="shared" si="5"/>
        <v>66</v>
      </c>
      <c r="R50" s="178">
        <f t="shared" si="6"/>
        <v>66</v>
      </c>
      <c r="S50" s="158" t="s">
        <v>533</v>
      </c>
      <c r="T50" s="54"/>
    </row>
    <row r="51" spans="1:20" ht="12.95" customHeight="1" x14ac:dyDescent="0.2">
      <c r="A51" s="392"/>
      <c r="B51" s="379"/>
      <c r="C51" s="392"/>
      <c r="D51" s="392"/>
      <c r="E51" s="379"/>
      <c r="F51" s="385"/>
      <c r="G51" s="349"/>
      <c r="H51" s="396"/>
      <c r="I51" s="394"/>
      <c r="J51" s="394"/>
      <c r="K51" s="394"/>
      <c r="L51" s="131">
        <v>9</v>
      </c>
      <c r="M51" s="198" t="s">
        <v>312</v>
      </c>
      <c r="N51" s="156" t="s">
        <v>565</v>
      </c>
      <c r="O51" s="157" t="str">
        <f>IF((AND(B39=30,E39=3400)),"48",IF((AND(B39=25,E39=3400)),"35",IF((AND(B39=20,E39=3400)),"24",IF((AND(B39=15,E39=3400)),"15",IF((AND(B39=30,E39=5100)),"120",IF((AND(B39=25,E39=5100)),"90",IF((AND(B39=20,E39=5100)),"64",IF((AND(B39=15,E39=5100)),"42"))))))))</f>
        <v>15</v>
      </c>
      <c r="P51" s="157">
        <f t="shared" si="4"/>
        <v>15</v>
      </c>
      <c r="Q51" s="178">
        <f t="shared" si="5"/>
        <v>15</v>
      </c>
      <c r="R51" s="178">
        <f t="shared" si="6"/>
        <v>15</v>
      </c>
      <c r="S51" s="158" t="s">
        <v>533</v>
      </c>
      <c r="T51" s="54"/>
    </row>
    <row r="52" spans="1:20" ht="12.95" customHeight="1" x14ac:dyDescent="0.2">
      <c r="A52" s="392"/>
      <c r="B52" s="379"/>
      <c r="C52" s="392"/>
      <c r="D52" s="392"/>
      <c r="E52" s="379"/>
      <c r="F52" s="385"/>
      <c r="G52" s="349"/>
      <c r="H52" s="396"/>
      <c r="I52" s="394"/>
      <c r="J52" s="394"/>
      <c r="K52" s="394"/>
      <c r="L52" s="85">
        <v>10</v>
      </c>
      <c r="M52" s="198" t="s">
        <v>314</v>
      </c>
      <c r="N52" s="156" t="s">
        <v>566</v>
      </c>
      <c r="O52" s="157" t="str">
        <f>O51</f>
        <v>15</v>
      </c>
      <c r="P52" s="157">
        <f t="shared" si="4"/>
        <v>15</v>
      </c>
      <c r="Q52" s="178">
        <f t="shared" si="5"/>
        <v>15</v>
      </c>
      <c r="R52" s="178">
        <f t="shared" si="6"/>
        <v>15</v>
      </c>
      <c r="S52" s="158" t="s">
        <v>533</v>
      </c>
      <c r="T52" s="54"/>
    </row>
    <row r="53" spans="1:20" ht="12.95" customHeight="1" x14ac:dyDescent="0.2">
      <c r="A53" s="392"/>
      <c r="B53" s="379"/>
      <c r="C53" s="392"/>
      <c r="D53" s="392"/>
      <c r="E53" s="379"/>
      <c r="F53" s="385"/>
      <c r="G53" s="349"/>
      <c r="H53" s="396"/>
      <c r="I53" s="394"/>
      <c r="J53" s="394"/>
      <c r="K53" s="394"/>
      <c r="L53" s="131">
        <v>11</v>
      </c>
      <c r="M53" s="198" t="s">
        <v>567</v>
      </c>
      <c r="N53" s="156" t="s">
        <v>568</v>
      </c>
      <c r="O53" s="157" t="str">
        <f>O51</f>
        <v>15</v>
      </c>
      <c r="P53" s="157">
        <f t="shared" si="4"/>
        <v>15</v>
      </c>
      <c r="Q53" s="208">
        <f t="shared" si="5"/>
        <v>15</v>
      </c>
      <c r="R53" s="208">
        <f t="shared" si="6"/>
        <v>15</v>
      </c>
      <c r="S53" s="209" t="s">
        <v>533</v>
      </c>
      <c r="T53" s="54"/>
    </row>
    <row r="54" spans="1:20" ht="12.95" customHeight="1" x14ac:dyDescent="0.2">
      <c r="A54" s="392"/>
      <c r="B54" s="379"/>
      <c r="C54" s="392"/>
      <c r="D54" s="392"/>
      <c r="E54" s="379"/>
      <c r="F54" s="385"/>
      <c r="G54" s="349"/>
      <c r="H54" s="396"/>
      <c r="I54" s="394"/>
      <c r="J54" s="394"/>
      <c r="K54" s="394"/>
      <c r="L54" s="85">
        <v>12</v>
      </c>
      <c r="M54" s="198" t="s">
        <v>569</v>
      </c>
      <c r="N54" s="156" t="s">
        <v>570</v>
      </c>
      <c r="O54" s="157">
        <f>J8*7</f>
        <v>42</v>
      </c>
      <c r="P54" s="208">
        <f t="shared" si="4"/>
        <v>42</v>
      </c>
      <c r="Q54" s="178">
        <f t="shared" si="5"/>
        <v>42</v>
      </c>
      <c r="R54" s="178">
        <f t="shared" si="6"/>
        <v>42</v>
      </c>
      <c r="S54" s="158" t="s">
        <v>533</v>
      </c>
      <c r="T54" s="210"/>
    </row>
    <row r="55" spans="1:20" ht="12.95" customHeight="1" x14ac:dyDescent="0.2">
      <c r="A55" s="392"/>
      <c r="B55" s="379"/>
      <c r="C55" s="392"/>
      <c r="D55" s="392"/>
      <c r="E55" s="379"/>
      <c r="F55" s="385"/>
      <c r="G55" s="349"/>
      <c r="H55" s="396"/>
      <c r="I55" s="394"/>
      <c r="J55" s="394"/>
      <c r="K55" s="394"/>
      <c r="L55" s="131">
        <v>13</v>
      </c>
      <c r="M55" s="198" t="s">
        <v>571</v>
      </c>
      <c r="N55" s="156" t="s">
        <v>313</v>
      </c>
      <c r="O55" s="157">
        <v>4</v>
      </c>
      <c r="P55" s="157">
        <f t="shared" si="4"/>
        <v>4</v>
      </c>
      <c r="Q55" s="178">
        <f t="shared" si="5"/>
        <v>4</v>
      </c>
      <c r="R55" s="178">
        <f t="shared" si="6"/>
        <v>4</v>
      </c>
      <c r="S55" s="158" t="s">
        <v>533</v>
      </c>
      <c r="T55" s="210"/>
    </row>
    <row r="56" spans="1:20" ht="12.95" customHeight="1" x14ac:dyDescent="0.2">
      <c r="A56" s="392"/>
      <c r="B56" s="379"/>
      <c r="C56" s="392"/>
      <c r="D56" s="392"/>
      <c r="E56" s="379"/>
      <c r="F56" s="385"/>
      <c r="G56" s="349"/>
      <c r="H56" s="396"/>
      <c r="I56" s="394"/>
      <c r="J56" s="394"/>
      <c r="K56" s="394"/>
      <c r="L56" s="85">
        <v>14</v>
      </c>
      <c r="M56" s="198" t="s">
        <v>572</v>
      </c>
      <c r="N56" s="156" t="s">
        <v>85</v>
      </c>
      <c r="O56" s="157">
        <v>4</v>
      </c>
      <c r="P56" s="157">
        <f t="shared" si="4"/>
        <v>4</v>
      </c>
      <c r="Q56" s="178">
        <f t="shared" si="5"/>
        <v>4</v>
      </c>
      <c r="R56" s="178">
        <f t="shared" si="6"/>
        <v>4</v>
      </c>
      <c r="S56" s="158" t="s">
        <v>533</v>
      </c>
      <c r="T56" s="210"/>
    </row>
    <row r="57" spans="1:20" ht="12.95" customHeight="1" x14ac:dyDescent="0.2">
      <c r="A57" s="393"/>
      <c r="B57" s="380"/>
      <c r="C57" s="393"/>
      <c r="D57" s="393"/>
      <c r="E57" s="380"/>
      <c r="F57" s="370"/>
      <c r="G57" s="350"/>
      <c r="H57" s="397"/>
      <c r="I57" s="395"/>
      <c r="J57" s="395"/>
      <c r="K57" s="395"/>
      <c r="L57" s="131">
        <v>15</v>
      </c>
      <c r="M57" s="198" t="s">
        <v>573</v>
      </c>
      <c r="N57" s="160" t="str">
        <f>IF(B8=30,"3x150x10000",IF(B8=25,"3x150x8500",IF(B8=20,"3x150x7000",IF(B8=15,"3x150x5500"))))</f>
        <v>3x150x5500</v>
      </c>
      <c r="O57" s="157">
        <v>1</v>
      </c>
      <c r="P57" s="157">
        <f t="shared" si="4"/>
        <v>1</v>
      </c>
      <c r="Q57" s="178">
        <f t="shared" si="5"/>
        <v>1</v>
      </c>
      <c r="R57" s="160">
        <f>IF(B8=30,"6.75",IF(B8=25,"5.73",IF(B8=20,"4.72",IF(B8=15,"3.71"))))*Q57</f>
        <v>3.71</v>
      </c>
      <c r="S57" s="158" t="s">
        <v>511</v>
      </c>
      <c r="T57" s="210"/>
    </row>
    <row r="72" spans="1:1" hidden="1" x14ac:dyDescent="0.2">
      <c r="A72" t="s">
        <v>574</v>
      </c>
    </row>
    <row r="73" spans="1:1" hidden="1" x14ac:dyDescent="0.2">
      <c r="A73" t="s">
        <v>575</v>
      </c>
    </row>
  </sheetData>
  <mergeCells count="40">
    <mergeCell ref="F39:F57"/>
    <mergeCell ref="G39:G57"/>
    <mergeCell ref="H43:H57"/>
    <mergeCell ref="I43:I57"/>
    <mergeCell ref="J43:J57"/>
    <mergeCell ref="K43:K57"/>
    <mergeCell ref="H20:H21"/>
    <mergeCell ref="I20:I21"/>
    <mergeCell ref="J20:J21"/>
    <mergeCell ref="K20:K21"/>
    <mergeCell ref="A37:C37"/>
    <mergeCell ref="A39:A57"/>
    <mergeCell ref="B39:B57"/>
    <mergeCell ref="C39:C57"/>
    <mergeCell ref="D39:D57"/>
    <mergeCell ref="E39:E57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I12:I15"/>
    <mergeCell ref="J12:J15"/>
    <mergeCell ref="K12:K15"/>
    <mergeCell ref="A6:C6"/>
    <mergeCell ref="A8:A26"/>
    <mergeCell ref="B8:B26"/>
    <mergeCell ref="C8:C26"/>
    <mergeCell ref="D8:D26"/>
    <mergeCell ref="E8:E2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topLeftCell="A7" zoomScaleNormal="100" workbookViewId="0">
      <selection activeCell="M17" sqref="M17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4" customWidth="1"/>
    <col min="6" max="6" width="5.375" customWidth="1"/>
    <col min="7" max="7" width="5.125" customWidth="1"/>
    <col min="8" max="8" width="6.75" customWidth="1"/>
    <col min="9" max="9" width="6.12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5.25" customHeight="1" x14ac:dyDescent="0.2"/>
    <row r="6" spans="1:20" ht="19.5" x14ac:dyDescent="0.2">
      <c r="A6" s="276" t="s">
        <v>0</v>
      </c>
      <c r="B6" s="277"/>
      <c r="C6" s="277"/>
      <c r="D6" s="11"/>
      <c r="E6" s="12"/>
      <c r="F6" s="12" t="s">
        <v>14</v>
      </c>
      <c r="G6" s="13"/>
      <c r="H6" s="12"/>
      <c r="I6" s="12" t="s">
        <v>13</v>
      </c>
      <c r="J6" s="12"/>
      <c r="K6" s="13"/>
      <c r="L6" s="11"/>
      <c r="M6" s="12"/>
      <c r="N6" s="6" t="s">
        <v>1</v>
      </c>
      <c r="O6" s="12"/>
      <c r="P6" s="12"/>
      <c r="Q6" s="12"/>
      <c r="R6" s="21"/>
      <c r="S6" s="21"/>
      <c r="T6" s="17" t="s">
        <v>15</v>
      </c>
    </row>
    <row r="7" spans="1:20" ht="49.15" customHeight="1" x14ac:dyDescent="0.2">
      <c r="A7" s="20" t="s">
        <v>2</v>
      </c>
      <c r="B7" s="20" t="s">
        <v>507</v>
      </c>
      <c r="C7" s="3" t="s">
        <v>3</v>
      </c>
      <c r="D7" s="14" t="s">
        <v>4</v>
      </c>
      <c r="E7" s="15" t="s">
        <v>5</v>
      </c>
      <c r="F7" s="14" t="s">
        <v>6</v>
      </c>
      <c r="G7" s="14" t="s">
        <v>3</v>
      </c>
      <c r="H7" s="3" t="s">
        <v>10</v>
      </c>
      <c r="I7" s="3" t="s">
        <v>5</v>
      </c>
      <c r="J7" s="20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6" t="s">
        <v>3</v>
      </c>
      <c r="R7" s="16" t="s">
        <v>17</v>
      </c>
      <c r="S7" s="16" t="s">
        <v>18</v>
      </c>
      <c r="T7" s="3" t="s">
        <v>16</v>
      </c>
    </row>
    <row r="8" spans="1:20" ht="14.25" customHeight="1" x14ac:dyDescent="0.2">
      <c r="A8" s="281" t="s">
        <v>348</v>
      </c>
      <c r="B8" s="312">
        <f>'درام روتاری'!B8</f>
        <v>15</v>
      </c>
      <c r="C8" s="348">
        <v>2</v>
      </c>
      <c r="D8" s="278" t="s">
        <v>260</v>
      </c>
      <c r="E8" s="309" t="s">
        <v>576</v>
      </c>
      <c r="F8" s="298" t="s">
        <v>19</v>
      </c>
      <c r="G8" s="295">
        <f>F8*C8</f>
        <v>2</v>
      </c>
      <c r="H8" s="278" t="s">
        <v>260</v>
      </c>
      <c r="I8" s="278" t="s">
        <v>576</v>
      </c>
      <c r="J8" s="278">
        <v>1</v>
      </c>
      <c r="K8" s="278">
        <v>2</v>
      </c>
      <c r="L8" s="49" t="s">
        <v>19</v>
      </c>
      <c r="M8" s="211" t="s">
        <v>577</v>
      </c>
      <c r="N8" s="87" t="s">
        <v>578</v>
      </c>
      <c r="O8" s="88">
        <v>1</v>
      </c>
      <c r="P8" s="212">
        <f>O8*$F$8</f>
        <v>1</v>
      </c>
      <c r="Q8" s="212">
        <f>P8*$C$8</f>
        <v>2</v>
      </c>
      <c r="R8" s="212">
        <f>Q8*5.5</f>
        <v>11</v>
      </c>
      <c r="S8" s="7" t="s">
        <v>511</v>
      </c>
      <c r="T8" s="54"/>
    </row>
    <row r="9" spans="1:20" ht="14.25" customHeight="1" x14ac:dyDescent="0.2">
      <c r="A9" s="282"/>
      <c r="B9" s="313"/>
      <c r="C9" s="349"/>
      <c r="D9" s="278"/>
      <c r="E9" s="309"/>
      <c r="F9" s="298"/>
      <c r="G9" s="398"/>
      <c r="H9" s="278"/>
      <c r="I9" s="278"/>
      <c r="J9" s="278"/>
      <c r="K9" s="278"/>
      <c r="L9" s="49" t="s">
        <v>21</v>
      </c>
      <c r="M9" s="211" t="s">
        <v>271</v>
      </c>
      <c r="N9" s="87" t="s">
        <v>579</v>
      </c>
      <c r="O9" s="88">
        <v>1</v>
      </c>
      <c r="P9" s="212">
        <f t="shared" ref="P9:P18" si="0">O9*$F$8</f>
        <v>1</v>
      </c>
      <c r="Q9" s="88">
        <f t="shared" ref="Q9:Q18" si="1">P9*$C$8</f>
        <v>2</v>
      </c>
      <c r="R9" s="88">
        <f>15.19*Q9</f>
        <v>30.38</v>
      </c>
      <c r="S9" s="7" t="s">
        <v>511</v>
      </c>
      <c r="T9" s="54"/>
    </row>
    <row r="10" spans="1:20" ht="14.25" customHeight="1" x14ac:dyDescent="0.2">
      <c r="A10" s="282"/>
      <c r="B10" s="313"/>
      <c r="C10" s="349"/>
      <c r="D10" s="278"/>
      <c r="E10" s="309"/>
      <c r="F10" s="298"/>
      <c r="G10" s="398"/>
      <c r="H10" s="278"/>
      <c r="I10" s="278"/>
      <c r="J10" s="278"/>
      <c r="K10" s="278"/>
      <c r="L10" s="49" t="s">
        <v>23</v>
      </c>
      <c r="M10" s="211" t="s">
        <v>580</v>
      </c>
      <c r="N10" s="160" t="str">
        <f>IF(B8=30,"4x234x1648",IF(B8=20,"4x234x1192",IF(B8=25,"4x234x1420",IF(B8=15,"4x234x964"))))</f>
        <v>4x234x964</v>
      </c>
      <c r="O10" s="88">
        <v>2</v>
      </c>
      <c r="P10" s="88">
        <f t="shared" si="0"/>
        <v>2</v>
      </c>
      <c r="Q10" s="88">
        <f t="shared" si="1"/>
        <v>4</v>
      </c>
      <c r="R10" s="45">
        <f>(IF(B8=30,"12.1",IF(B8=20,"8.75",IF(B8=25,"10.42",IF(B8=15,"7")))))*Q10</f>
        <v>28</v>
      </c>
      <c r="S10" s="7" t="s">
        <v>511</v>
      </c>
      <c r="T10" s="54"/>
    </row>
    <row r="11" spans="1:20" ht="14.25" customHeight="1" thickBot="1" x14ac:dyDescent="0.25">
      <c r="A11" s="282"/>
      <c r="B11" s="313"/>
      <c r="C11" s="349"/>
      <c r="D11" s="278"/>
      <c r="E11" s="309"/>
      <c r="F11" s="298"/>
      <c r="G11" s="398"/>
      <c r="H11" s="304"/>
      <c r="I11" s="304"/>
      <c r="J11" s="304"/>
      <c r="K11" s="304"/>
      <c r="L11" s="69" t="s">
        <v>26</v>
      </c>
      <c r="M11" s="213" t="s">
        <v>581</v>
      </c>
      <c r="N11" s="94" t="s">
        <v>582</v>
      </c>
      <c r="O11" s="95">
        <v>4</v>
      </c>
      <c r="P11" s="95">
        <f t="shared" si="0"/>
        <v>4</v>
      </c>
      <c r="Q11" s="95">
        <f t="shared" si="1"/>
        <v>8</v>
      </c>
      <c r="R11" s="95">
        <f>0.75*Q11</f>
        <v>6</v>
      </c>
      <c r="S11" s="214" t="s">
        <v>511</v>
      </c>
      <c r="T11" s="73"/>
    </row>
    <row r="12" spans="1:20" ht="14.25" customHeight="1" thickBot="1" x14ac:dyDescent="0.25">
      <c r="A12" s="282"/>
      <c r="B12" s="313"/>
      <c r="C12" s="349"/>
      <c r="D12" s="278"/>
      <c r="E12" s="309"/>
      <c r="F12" s="298"/>
      <c r="G12" s="398"/>
      <c r="H12" s="215" t="s">
        <v>44</v>
      </c>
      <c r="I12" s="215" t="s">
        <v>583</v>
      </c>
      <c r="J12" s="215">
        <v>1</v>
      </c>
      <c r="K12" s="215">
        <v>2</v>
      </c>
      <c r="L12" s="123" t="s">
        <v>19</v>
      </c>
      <c r="M12" s="216" t="s">
        <v>583</v>
      </c>
      <c r="N12" s="217" t="s">
        <v>584</v>
      </c>
      <c r="O12" s="218">
        <v>1</v>
      </c>
      <c r="P12" s="218">
        <f t="shared" si="0"/>
        <v>1</v>
      </c>
      <c r="Q12" s="218">
        <f t="shared" si="1"/>
        <v>2</v>
      </c>
      <c r="R12" s="218">
        <f>Q12</f>
        <v>2</v>
      </c>
      <c r="S12" s="219" t="s">
        <v>533</v>
      </c>
      <c r="T12" s="220"/>
    </row>
    <row r="13" spans="1:20" ht="14.25" customHeight="1" x14ac:dyDescent="0.2">
      <c r="A13" s="282"/>
      <c r="B13" s="313"/>
      <c r="C13" s="349"/>
      <c r="D13" s="278"/>
      <c r="E13" s="309"/>
      <c r="F13" s="298"/>
      <c r="G13" s="398"/>
      <c r="H13" s="370" t="s">
        <v>265</v>
      </c>
      <c r="I13" s="331" t="s">
        <v>311</v>
      </c>
      <c r="J13" s="370">
        <v>1</v>
      </c>
      <c r="K13" s="370">
        <v>2</v>
      </c>
      <c r="L13" s="145" t="s">
        <v>19</v>
      </c>
      <c r="M13" s="221" t="s">
        <v>410</v>
      </c>
      <c r="N13" s="222" t="s">
        <v>585</v>
      </c>
      <c r="O13" s="106">
        <v>2</v>
      </c>
      <c r="P13" s="106">
        <f t="shared" si="0"/>
        <v>2</v>
      </c>
      <c r="Q13" s="106">
        <f t="shared" si="1"/>
        <v>4</v>
      </c>
      <c r="R13" s="106">
        <f t="shared" ref="R13:R18" si="2">Q13</f>
        <v>4</v>
      </c>
      <c r="S13" s="223" t="s">
        <v>533</v>
      </c>
      <c r="T13" s="75"/>
    </row>
    <row r="14" spans="1:20" ht="14.25" customHeight="1" x14ac:dyDescent="0.2">
      <c r="A14" s="282"/>
      <c r="B14" s="313"/>
      <c r="C14" s="349"/>
      <c r="D14" s="278"/>
      <c r="E14" s="309"/>
      <c r="F14" s="298"/>
      <c r="G14" s="398"/>
      <c r="H14" s="298"/>
      <c r="I14" s="309"/>
      <c r="J14" s="298"/>
      <c r="K14" s="298"/>
      <c r="L14" s="49" t="s">
        <v>21</v>
      </c>
      <c r="M14" s="211" t="s">
        <v>411</v>
      </c>
      <c r="N14" s="87" t="s">
        <v>586</v>
      </c>
      <c r="O14" s="88">
        <v>2</v>
      </c>
      <c r="P14" s="88">
        <f t="shared" si="0"/>
        <v>2</v>
      </c>
      <c r="Q14" s="88">
        <f t="shared" si="1"/>
        <v>4</v>
      </c>
      <c r="R14" s="88">
        <f t="shared" si="2"/>
        <v>4</v>
      </c>
      <c r="S14" s="7" t="s">
        <v>533</v>
      </c>
      <c r="T14" s="54"/>
    </row>
    <row r="15" spans="1:20" ht="14.25" customHeight="1" x14ac:dyDescent="0.2">
      <c r="A15" s="282"/>
      <c r="B15" s="313"/>
      <c r="C15" s="349"/>
      <c r="D15" s="278"/>
      <c r="E15" s="309"/>
      <c r="F15" s="298"/>
      <c r="G15" s="398"/>
      <c r="H15" s="298"/>
      <c r="I15" s="309"/>
      <c r="J15" s="298"/>
      <c r="K15" s="298"/>
      <c r="L15" s="49" t="s">
        <v>23</v>
      </c>
      <c r="M15" s="211" t="s">
        <v>587</v>
      </c>
      <c r="N15" s="87" t="s">
        <v>588</v>
      </c>
      <c r="O15" s="88">
        <v>2</v>
      </c>
      <c r="P15" s="88">
        <f t="shared" si="0"/>
        <v>2</v>
      </c>
      <c r="Q15" s="88">
        <f t="shared" si="1"/>
        <v>4</v>
      </c>
      <c r="R15" s="88">
        <f t="shared" si="2"/>
        <v>4</v>
      </c>
      <c r="S15" s="7" t="s">
        <v>533</v>
      </c>
      <c r="T15" s="54"/>
    </row>
    <row r="16" spans="1:20" ht="14.25" customHeight="1" x14ac:dyDescent="0.2">
      <c r="A16" s="282"/>
      <c r="B16" s="313"/>
      <c r="C16" s="349"/>
      <c r="D16" s="278"/>
      <c r="E16" s="309"/>
      <c r="F16" s="298"/>
      <c r="G16" s="398"/>
      <c r="H16" s="298"/>
      <c r="I16" s="309"/>
      <c r="J16" s="298"/>
      <c r="K16" s="298"/>
      <c r="L16" s="49" t="s">
        <v>26</v>
      </c>
      <c r="M16" s="211" t="s">
        <v>589</v>
      </c>
      <c r="N16" s="87" t="s">
        <v>588</v>
      </c>
      <c r="O16" s="88">
        <v>2</v>
      </c>
      <c r="P16" s="88">
        <f t="shared" si="0"/>
        <v>2</v>
      </c>
      <c r="Q16" s="88">
        <f t="shared" si="1"/>
        <v>4</v>
      </c>
      <c r="R16" s="88">
        <f t="shared" si="2"/>
        <v>4</v>
      </c>
      <c r="S16" s="7" t="s">
        <v>533</v>
      </c>
      <c r="T16" s="54"/>
    </row>
    <row r="17" spans="1:20" ht="14.25" customHeight="1" x14ac:dyDescent="0.2">
      <c r="A17" s="282"/>
      <c r="B17" s="313"/>
      <c r="C17" s="349"/>
      <c r="D17" s="278"/>
      <c r="E17" s="309"/>
      <c r="F17" s="298"/>
      <c r="G17" s="398"/>
      <c r="H17" s="298"/>
      <c r="I17" s="309"/>
      <c r="J17" s="298"/>
      <c r="K17" s="298"/>
      <c r="L17" s="49" t="s">
        <v>29</v>
      </c>
      <c r="M17" s="211" t="s">
        <v>417</v>
      </c>
      <c r="N17" s="87" t="s">
        <v>275</v>
      </c>
      <c r="O17" s="88">
        <v>4</v>
      </c>
      <c r="P17" s="88">
        <f t="shared" si="0"/>
        <v>4</v>
      </c>
      <c r="Q17" s="88">
        <f t="shared" si="1"/>
        <v>8</v>
      </c>
      <c r="R17" s="88">
        <f t="shared" si="2"/>
        <v>8</v>
      </c>
      <c r="S17" s="7" t="s">
        <v>533</v>
      </c>
      <c r="T17" s="54"/>
    </row>
    <row r="18" spans="1:20" ht="14.25" customHeight="1" x14ac:dyDescent="0.2">
      <c r="A18" s="283"/>
      <c r="B18" s="325"/>
      <c r="C18" s="350"/>
      <c r="D18" s="278"/>
      <c r="E18" s="309"/>
      <c r="F18" s="298"/>
      <c r="G18" s="398"/>
      <c r="H18" s="298"/>
      <c r="I18" s="309"/>
      <c r="J18" s="298"/>
      <c r="K18" s="298"/>
      <c r="L18" s="49" t="s">
        <v>32</v>
      </c>
      <c r="M18" s="211" t="s">
        <v>84</v>
      </c>
      <c r="N18" s="92" t="s">
        <v>276</v>
      </c>
      <c r="O18" s="88">
        <v>4</v>
      </c>
      <c r="P18" s="88">
        <f t="shared" si="0"/>
        <v>4</v>
      </c>
      <c r="Q18" s="88">
        <f t="shared" si="1"/>
        <v>8</v>
      </c>
      <c r="R18" s="88">
        <f t="shared" si="2"/>
        <v>8</v>
      </c>
      <c r="S18" s="7" t="s">
        <v>533</v>
      </c>
      <c r="T18" s="54"/>
    </row>
    <row r="19" spans="1:20" x14ac:dyDescent="0.2">
      <c r="J19" s="5"/>
      <c r="K19" s="5"/>
    </row>
    <row r="21" spans="1:20" x14ac:dyDescent="0.2">
      <c r="Q21" s="224"/>
    </row>
    <row r="25" spans="1:20" ht="15.75" x14ac:dyDescent="0.2">
      <c r="M25" s="61"/>
    </row>
    <row r="26" spans="1:20" hidden="1" x14ac:dyDescent="0.2">
      <c r="B26" s="225">
        <v>15</v>
      </c>
    </row>
    <row r="27" spans="1:20" hidden="1" x14ac:dyDescent="0.2">
      <c r="B27" s="225">
        <v>20</v>
      </c>
    </row>
    <row r="28" spans="1:20" hidden="1" x14ac:dyDescent="0.2">
      <c r="B28" s="225">
        <v>25</v>
      </c>
    </row>
    <row r="29" spans="1:20" hidden="1" x14ac:dyDescent="0.2">
      <c r="B29" s="225">
        <v>30</v>
      </c>
    </row>
  </sheetData>
  <mergeCells count="16">
    <mergeCell ref="F8:F18"/>
    <mergeCell ref="G8:G18"/>
    <mergeCell ref="H8:H11"/>
    <mergeCell ref="I8:I11"/>
    <mergeCell ref="J8:J11"/>
    <mergeCell ref="K8:K11"/>
    <mergeCell ref="H13:H18"/>
    <mergeCell ref="I13:I18"/>
    <mergeCell ref="J13:J18"/>
    <mergeCell ref="K13:K18"/>
    <mergeCell ref="E8:E18"/>
    <mergeCell ref="A6:C6"/>
    <mergeCell ref="A8:A18"/>
    <mergeCell ref="B8:B18"/>
    <mergeCell ref="C8:C18"/>
    <mergeCell ref="D8:D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zoomScaleNormal="100" workbookViewId="0">
      <selection activeCell="R11" sqref="R11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5.875" customWidth="1"/>
    <col min="6" max="6" width="5.375" customWidth="1"/>
    <col min="7" max="7" width="5.125" customWidth="1"/>
    <col min="8" max="8" width="5" customWidth="1"/>
    <col min="9" max="9" width="6.37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375" customWidth="1"/>
    <col min="15" max="15" width="5.75" customWidth="1"/>
    <col min="16" max="16" width="5.625" customWidth="1"/>
    <col min="17" max="17" width="5.125" customWidth="1"/>
    <col min="18" max="18" width="7" customWidth="1"/>
    <col min="19" max="19" width="4.875" customWidth="1"/>
    <col min="20" max="20" width="5" customWidth="1"/>
    <col min="21" max="21" width="8" customWidth="1"/>
  </cols>
  <sheetData>
    <row r="4" spans="1:20" ht="12" customHeight="1" x14ac:dyDescent="0.2"/>
    <row r="5" spans="1:20" ht="5.25" customHeight="1" x14ac:dyDescent="0.2"/>
    <row r="6" spans="1:20" ht="19.5" x14ac:dyDescent="0.2">
      <c r="A6" s="276" t="s">
        <v>0</v>
      </c>
      <c r="B6" s="277"/>
      <c r="C6" s="277"/>
      <c r="D6" s="11"/>
      <c r="E6" s="12"/>
      <c r="F6" s="12" t="s">
        <v>14</v>
      </c>
      <c r="G6" s="13"/>
      <c r="H6" s="12"/>
      <c r="I6" s="12" t="s">
        <v>13</v>
      </c>
      <c r="J6" s="12"/>
      <c r="K6" s="13"/>
      <c r="L6" s="11"/>
      <c r="M6" s="12"/>
      <c r="N6" s="6" t="s">
        <v>1</v>
      </c>
      <c r="O6" s="12"/>
      <c r="P6" s="12"/>
      <c r="Q6" s="12"/>
      <c r="R6" s="21"/>
      <c r="S6" s="21"/>
      <c r="T6" s="17" t="s">
        <v>15</v>
      </c>
    </row>
    <row r="7" spans="1:20" ht="50.25" customHeight="1" x14ac:dyDescent="0.2">
      <c r="A7" s="20" t="s">
        <v>2</v>
      </c>
      <c r="B7" s="20" t="s">
        <v>507</v>
      </c>
      <c r="C7" s="3" t="s">
        <v>3</v>
      </c>
      <c r="D7" s="14" t="s">
        <v>4</v>
      </c>
      <c r="E7" s="15" t="s">
        <v>5</v>
      </c>
      <c r="F7" s="14" t="s">
        <v>6</v>
      </c>
      <c r="G7" s="14" t="s">
        <v>3</v>
      </c>
      <c r="H7" s="3" t="s">
        <v>10</v>
      </c>
      <c r="I7" s="3" t="s">
        <v>5</v>
      </c>
      <c r="J7" s="20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6" t="s">
        <v>3</v>
      </c>
      <c r="R7" s="16" t="s">
        <v>17</v>
      </c>
      <c r="S7" s="16" t="s">
        <v>18</v>
      </c>
      <c r="T7" s="3" t="s">
        <v>16</v>
      </c>
    </row>
    <row r="8" spans="1:20" x14ac:dyDescent="0.2">
      <c r="A8" s="399" t="s">
        <v>348</v>
      </c>
      <c r="B8" s="308">
        <f>'درام روتاری'!B8</f>
        <v>15</v>
      </c>
      <c r="C8" s="308">
        <v>2</v>
      </c>
      <c r="D8" s="399" t="s">
        <v>265</v>
      </c>
      <c r="E8" s="400" t="s">
        <v>590</v>
      </c>
      <c r="F8" s="402">
        <v>1</v>
      </c>
      <c r="G8" s="398">
        <f>C8*F8</f>
        <v>2</v>
      </c>
      <c r="H8" s="398" t="s">
        <v>260</v>
      </c>
      <c r="I8" s="398" t="s">
        <v>590</v>
      </c>
      <c r="J8" s="398">
        <v>1</v>
      </c>
      <c r="K8" s="398">
        <f>J8*G8</f>
        <v>2</v>
      </c>
      <c r="L8" s="226" t="s">
        <v>19</v>
      </c>
      <c r="M8" s="227" t="s">
        <v>577</v>
      </c>
      <c r="N8" s="228" t="s">
        <v>591</v>
      </c>
      <c r="O8" s="228">
        <v>1</v>
      </c>
      <c r="P8" s="160">
        <f>O8*$F$8</f>
        <v>1</v>
      </c>
      <c r="Q8" s="160">
        <f>P8*$C$8</f>
        <v>2</v>
      </c>
      <c r="R8" s="160">
        <f>5.65*Q8</f>
        <v>11.3</v>
      </c>
      <c r="S8" s="160" t="s">
        <v>511</v>
      </c>
      <c r="T8" s="229"/>
    </row>
    <row r="9" spans="1:20" x14ac:dyDescent="0.2">
      <c r="A9" s="399"/>
      <c r="B9" s="308"/>
      <c r="C9" s="308"/>
      <c r="D9" s="399"/>
      <c r="E9" s="400"/>
      <c r="F9" s="402"/>
      <c r="G9" s="398"/>
      <c r="H9" s="398"/>
      <c r="I9" s="398"/>
      <c r="J9" s="398"/>
      <c r="K9" s="398"/>
      <c r="L9" s="226" t="s">
        <v>21</v>
      </c>
      <c r="M9" s="227" t="s">
        <v>271</v>
      </c>
      <c r="N9" s="228" t="s">
        <v>592</v>
      </c>
      <c r="O9" s="228">
        <v>3</v>
      </c>
      <c r="P9" s="160">
        <f t="shared" ref="P9:P23" si="0">O9*$F$8</f>
        <v>3</v>
      </c>
      <c r="Q9" s="160">
        <f t="shared" ref="Q9:Q23" si="1">P9*$C$8</f>
        <v>6</v>
      </c>
      <c r="R9" s="160">
        <f>Q9*1.5</f>
        <v>9</v>
      </c>
      <c r="S9" s="160" t="s">
        <v>511</v>
      </c>
      <c r="T9" s="229"/>
    </row>
    <row r="10" spans="1:20" x14ac:dyDescent="0.2">
      <c r="A10" s="399"/>
      <c r="B10" s="308"/>
      <c r="C10" s="308"/>
      <c r="D10" s="399"/>
      <c r="E10" s="400"/>
      <c r="F10" s="402"/>
      <c r="G10" s="398"/>
      <c r="H10" s="398"/>
      <c r="I10" s="398"/>
      <c r="J10" s="398"/>
      <c r="K10" s="398"/>
      <c r="L10" s="226" t="s">
        <v>23</v>
      </c>
      <c r="M10" s="227" t="s">
        <v>593</v>
      </c>
      <c r="N10" s="228" t="s">
        <v>594</v>
      </c>
      <c r="O10" s="228">
        <v>1</v>
      </c>
      <c r="P10" s="160">
        <f t="shared" si="0"/>
        <v>1</v>
      </c>
      <c r="Q10" s="160">
        <f t="shared" si="1"/>
        <v>2</v>
      </c>
      <c r="R10" s="160">
        <f>2.3*Q10</f>
        <v>4.5999999999999996</v>
      </c>
      <c r="S10" s="160" t="s">
        <v>511</v>
      </c>
      <c r="T10" s="229"/>
    </row>
    <row r="11" spans="1:20" x14ac:dyDescent="0.2">
      <c r="A11" s="399"/>
      <c r="B11" s="308"/>
      <c r="C11" s="308"/>
      <c r="D11" s="399"/>
      <c r="E11" s="400"/>
      <c r="F11" s="402"/>
      <c r="G11" s="398"/>
      <c r="H11" s="398"/>
      <c r="I11" s="398"/>
      <c r="J11" s="398"/>
      <c r="K11" s="398"/>
      <c r="L11" s="226" t="s">
        <v>26</v>
      </c>
      <c r="M11" s="227" t="s">
        <v>595</v>
      </c>
      <c r="N11" s="45" t="str">
        <f>IF(B8=30,"70x70,L=1677",IF(B8=20,"70x70,L=1213",IF(B8=25,"70x70,L=1445",IF(B8=15,"70x70,L=981"))))</f>
        <v>70x70,L=981</v>
      </c>
      <c r="O11" s="228">
        <v>2</v>
      </c>
      <c r="P11" s="160">
        <f t="shared" si="0"/>
        <v>2</v>
      </c>
      <c r="Q11" s="160">
        <f t="shared" si="1"/>
        <v>4</v>
      </c>
      <c r="R11" s="45">
        <f>(IF(B8=30,"11",IF(B8=20,"8",IF(B8=25,"9.53",IF(B8=15,"6.46")))))*Q11</f>
        <v>25.84</v>
      </c>
      <c r="S11" s="160" t="s">
        <v>511</v>
      </c>
      <c r="T11" s="229"/>
    </row>
    <row r="12" spans="1:20" x14ac:dyDescent="0.2">
      <c r="A12" s="399"/>
      <c r="B12" s="308"/>
      <c r="C12" s="308"/>
      <c r="D12" s="399"/>
      <c r="E12" s="400"/>
      <c r="F12" s="402"/>
      <c r="G12" s="398"/>
      <c r="H12" s="398"/>
      <c r="I12" s="398"/>
      <c r="J12" s="398"/>
      <c r="K12" s="398"/>
      <c r="L12" s="226" t="s">
        <v>29</v>
      </c>
      <c r="M12" s="227" t="s">
        <v>596</v>
      </c>
      <c r="N12" s="45" t="str">
        <f>IF(B8=30,"70x70,L=1718",IF(B8=20,"70x70,L=1177",IF(B8=25,"70x70,L=1447",IF(B8=15,"70x70,L=906"))))</f>
        <v>70x70,L=906</v>
      </c>
      <c r="O12" s="228">
        <v>1</v>
      </c>
      <c r="P12" s="160">
        <f t="shared" si="0"/>
        <v>1</v>
      </c>
      <c r="Q12" s="160">
        <f t="shared" si="1"/>
        <v>2</v>
      </c>
      <c r="R12" s="45">
        <f>(IF(B8=30,"12.1",IF(B8=20,"8.75",IF(B8=25,"10.42",IF(B8=15,"7")))))*Q12</f>
        <v>14</v>
      </c>
      <c r="S12" s="160" t="s">
        <v>511</v>
      </c>
      <c r="T12" s="229"/>
    </row>
    <row r="13" spans="1:20" x14ac:dyDescent="0.2">
      <c r="A13" s="399"/>
      <c r="B13" s="308"/>
      <c r="C13" s="308"/>
      <c r="D13" s="399"/>
      <c r="E13" s="400"/>
      <c r="F13" s="402"/>
      <c r="G13" s="398"/>
      <c r="H13" s="398"/>
      <c r="I13" s="398"/>
      <c r="J13" s="398"/>
      <c r="K13" s="398"/>
      <c r="L13" s="226" t="s">
        <v>32</v>
      </c>
      <c r="M13" s="227" t="s">
        <v>597</v>
      </c>
      <c r="N13" s="45" t="str">
        <f>IF(B8=30,"3x270x700",IF(B8=20,"3x270x500",IF(B8=25,"3x270x600",IF(B8=15,"3x270x400"))))</f>
        <v>3x270x400</v>
      </c>
      <c r="O13" s="228">
        <v>1</v>
      </c>
      <c r="P13" s="160">
        <f t="shared" si="0"/>
        <v>1</v>
      </c>
      <c r="Q13" s="160">
        <f t="shared" si="1"/>
        <v>2</v>
      </c>
      <c r="R13" s="45">
        <f>(IF(B8=30,"4.45",IF(B8=20,"3.18",IF(B8=25,"3.81",IF(B8=15,"2.54")))))*Q13</f>
        <v>5.08</v>
      </c>
      <c r="S13" s="160" t="s">
        <v>511</v>
      </c>
      <c r="T13" s="229"/>
    </row>
    <row r="14" spans="1:20" ht="28.5" x14ac:dyDescent="0.2">
      <c r="A14" s="399"/>
      <c r="B14" s="308"/>
      <c r="C14" s="308"/>
      <c r="D14" s="399"/>
      <c r="E14" s="400"/>
      <c r="F14" s="402"/>
      <c r="G14" s="398"/>
      <c r="H14" s="398"/>
      <c r="I14" s="398"/>
      <c r="J14" s="398"/>
      <c r="K14" s="398"/>
      <c r="L14" s="226" t="s">
        <v>35</v>
      </c>
      <c r="M14" s="230" t="s">
        <v>598</v>
      </c>
      <c r="N14" s="228" t="s">
        <v>599</v>
      </c>
      <c r="O14" s="228">
        <v>1</v>
      </c>
      <c r="P14" s="160">
        <f t="shared" si="0"/>
        <v>1</v>
      </c>
      <c r="Q14" s="160">
        <f t="shared" si="1"/>
        <v>2</v>
      </c>
      <c r="R14" s="160">
        <f>1.06*Q14</f>
        <v>2.12</v>
      </c>
      <c r="S14" s="160" t="s">
        <v>511</v>
      </c>
      <c r="T14" s="229"/>
    </row>
    <row r="15" spans="1:20" x14ac:dyDescent="0.2">
      <c r="A15" s="399"/>
      <c r="B15" s="308"/>
      <c r="C15" s="308"/>
      <c r="D15" s="399"/>
      <c r="E15" s="400"/>
      <c r="F15" s="402"/>
      <c r="G15" s="398"/>
      <c r="H15" s="398"/>
      <c r="I15" s="398"/>
      <c r="J15" s="398"/>
      <c r="K15" s="398"/>
      <c r="L15" s="226" t="s">
        <v>37</v>
      </c>
      <c r="M15" s="227" t="s">
        <v>600</v>
      </c>
      <c r="N15" s="228" t="s">
        <v>601</v>
      </c>
      <c r="O15" s="228">
        <v>1</v>
      </c>
      <c r="P15" s="160">
        <f t="shared" si="0"/>
        <v>1</v>
      </c>
      <c r="Q15" s="160">
        <f t="shared" si="1"/>
        <v>2</v>
      </c>
      <c r="R15" s="160">
        <f>0.33*Q15</f>
        <v>0.66</v>
      </c>
      <c r="S15" s="160" t="s">
        <v>511</v>
      </c>
      <c r="T15" s="229"/>
    </row>
    <row r="16" spans="1:20" x14ac:dyDescent="0.2">
      <c r="A16" s="399"/>
      <c r="B16" s="308"/>
      <c r="C16" s="308"/>
      <c r="D16" s="399"/>
      <c r="E16" s="400"/>
      <c r="F16" s="402"/>
      <c r="G16" s="398"/>
      <c r="H16" s="398"/>
      <c r="I16" s="398"/>
      <c r="J16" s="398"/>
      <c r="K16" s="398"/>
      <c r="L16" s="226" t="s">
        <v>40</v>
      </c>
      <c r="M16" s="227" t="s">
        <v>602</v>
      </c>
      <c r="N16" s="228" t="s">
        <v>270</v>
      </c>
      <c r="O16" s="228">
        <v>1</v>
      </c>
      <c r="P16" s="160">
        <f t="shared" si="0"/>
        <v>1</v>
      </c>
      <c r="Q16" s="160">
        <f t="shared" si="1"/>
        <v>2</v>
      </c>
      <c r="R16" s="160">
        <f>0.15*Q16</f>
        <v>0.3</v>
      </c>
      <c r="S16" s="160" t="s">
        <v>511</v>
      </c>
      <c r="T16" s="229"/>
    </row>
    <row r="17" spans="1:20" x14ac:dyDescent="0.2">
      <c r="A17" s="399"/>
      <c r="B17" s="308"/>
      <c r="C17" s="308"/>
      <c r="D17" s="399"/>
      <c r="E17" s="400"/>
      <c r="F17" s="402"/>
      <c r="G17" s="398"/>
      <c r="H17" s="398"/>
      <c r="I17" s="398"/>
      <c r="J17" s="398"/>
      <c r="K17" s="398"/>
      <c r="L17" s="226" t="s">
        <v>51</v>
      </c>
      <c r="M17" s="227" t="s">
        <v>603</v>
      </c>
      <c r="N17" s="45" t="str">
        <f>IF(B8=30,"40x40,L=700",IF(B8=20,"40x40,L=500",IF(B8=25,"40x40,L=600",IF(B8=15,"40x40,L=400"))))</f>
        <v>40x40,L=400</v>
      </c>
      <c r="O17" s="228">
        <v>1</v>
      </c>
      <c r="P17" s="160">
        <f t="shared" si="0"/>
        <v>1</v>
      </c>
      <c r="Q17" s="160">
        <f t="shared" si="1"/>
        <v>2</v>
      </c>
      <c r="R17" s="45">
        <f>(IF(B8=30,"1.75",IF(B8=20,"1.25",IF(B8=25,"1.5",IF(B8=15,"1")))))*Q17</f>
        <v>2</v>
      </c>
      <c r="S17" s="160" t="s">
        <v>511</v>
      </c>
      <c r="T17" s="229"/>
    </row>
    <row r="18" spans="1:20" x14ac:dyDescent="0.2">
      <c r="A18" s="399"/>
      <c r="B18" s="308"/>
      <c r="C18" s="308"/>
      <c r="D18" s="399"/>
      <c r="E18" s="400"/>
      <c r="F18" s="402"/>
      <c r="G18" s="398"/>
      <c r="H18" s="398"/>
      <c r="I18" s="398"/>
      <c r="J18" s="398"/>
      <c r="K18" s="398"/>
      <c r="L18" s="226" t="s">
        <v>52</v>
      </c>
      <c r="M18" s="227" t="s">
        <v>604</v>
      </c>
      <c r="N18" s="45" t="str">
        <f>IF(B8=30,"40x40,L=800",IF(B8=20,"40x40,L=600",IF(B8=25,"40x40,L=700",IF(B8=15,"40x40,L=500"))))</f>
        <v>40x40,L=500</v>
      </c>
      <c r="O18" s="228">
        <v>1</v>
      </c>
      <c r="P18" s="160">
        <f t="shared" si="0"/>
        <v>1</v>
      </c>
      <c r="Q18" s="160">
        <f t="shared" si="1"/>
        <v>2</v>
      </c>
      <c r="R18" s="45">
        <f>(IF(B8=30,"2",IF(B8=20,"1.5",IF(B8=25,"1.75",IF(B8=15,"1.25")))))*Q18</f>
        <v>2.5</v>
      </c>
      <c r="S18" s="160" t="s">
        <v>511</v>
      </c>
      <c r="T18" s="229"/>
    </row>
    <row r="19" spans="1:20" x14ac:dyDescent="0.2">
      <c r="A19" s="399"/>
      <c r="B19" s="308"/>
      <c r="C19" s="308"/>
      <c r="D19" s="399"/>
      <c r="E19" s="400"/>
      <c r="F19" s="402"/>
      <c r="G19" s="398"/>
      <c r="H19" s="398"/>
      <c r="I19" s="398"/>
      <c r="J19" s="398"/>
      <c r="K19" s="398"/>
      <c r="L19" s="226" t="s">
        <v>53</v>
      </c>
      <c r="M19" s="227" t="s">
        <v>605</v>
      </c>
      <c r="N19" s="228" t="s">
        <v>606</v>
      </c>
      <c r="O19" s="228">
        <v>1</v>
      </c>
      <c r="P19" s="160">
        <f t="shared" si="0"/>
        <v>1</v>
      </c>
      <c r="Q19" s="160">
        <f t="shared" si="1"/>
        <v>2</v>
      </c>
      <c r="R19" s="160">
        <f>Q19*1.68</f>
        <v>3.36</v>
      </c>
      <c r="S19" s="160" t="s">
        <v>511</v>
      </c>
      <c r="T19" s="229"/>
    </row>
    <row r="20" spans="1:20" x14ac:dyDescent="0.2">
      <c r="A20" s="399"/>
      <c r="B20" s="308"/>
      <c r="C20" s="308"/>
      <c r="D20" s="399"/>
      <c r="E20" s="400"/>
      <c r="F20" s="402"/>
      <c r="G20" s="398"/>
      <c r="H20" s="398"/>
      <c r="I20" s="398"/>
      <c r="J20" s="398"/>
      <c r="K20" s="398"/>
      <c r="L20" s="226" t="s">
        <v>57</v>
      </c>
      <c r="M20" s="227" t="s">
        <v>607</v>
      </c>
      <c r="N20" s="228" t="s">
        <v>608</v>
      </c>
      <c r="O20" s="228">
        <v>3</v>
      </c>
      <c r="P20" s="160">
        <f t="shared" si="0"/>
        <v>3</v>
      </c>
      <c r="Q20" s="160">
        <f t="shared" si="1"/>
        <v>6</v>
      </c>
      <c r="R20" s="160">
        <f>0.126*Q20</f>
        <v>0.75600000000000001</v>
      </c>
      <c r="S20" s="160" t="s">
        <v>511</v>
      </c>
      <c r="T20" s="229"/>
    </row>
    <row r="21" spans="1:20" x14ac:dyDescent="0.2">
      <c r="A21" s="399"/>
      <c r="B21" s="308"/>
      <c r="C21" s="308"/>
      <c r="D21" s="399"/>
      <c r="E21" s="400"/>
      <c r="F21" s="402"/>
      <c r="G21" s="398"/>
      <c r="H21" s="398"/>
      <c r="I21" s="398"/>
      <c r="J21" s="398"/>
      <c r="K21" s="398"/>
      <c r="L21" s="226" t="s">
        <v>58</v>
      </c>
      <c r="M21" s="227" t="s">
        <v>609</v>
      </c>
      <c r="N21" s="228" t="s">
        <v>610</v>
      </c>
      <c r="O21" s="228">
        <v>2</v>
      </c>
      <c r="P21" s="160">
        <f t="shared" si="0"/>
        <v>2</v>
      </c>
      <c r="Q21" s="160">
        <f t="shared" si="1"/>
        <v>4</v>
      </c>
      <c r="R21" s="160">
        <f>Q21*0.1</f>
        <v>0.4</v>
      </c>
      <c r="S21" s="160" t="s">
        <v>511</v>
      </c>
      <c r="T21" s="56"/>
    </row>
    <row r="22" spans="1:20" x14ac:dyDescent="0.2">
      <c r="A22" s="399"/>
      <c r="B22" s="308"/>
      <c r="C22" s="308"/>
      <c r="D22" s="399"/>
      <c r="E22" s="400"/>
      <c r="F22" s="402"/>
      <c r="G22" s="398"/>
      <c r="H22" s="398"/>
      <c r="I22" s="398"/>
      <c r="J22" s="398"/>
      <c r="K22" s="398"/>
      <c r="L22" s="226">
        <v>15</v>
      </c>
      <c r="M22" s="227" t="s">
        <v>611</v>
      </c>
      <c r="N22" s="228" t="s">
        <v>612</v>
      </c>
      <c r="O22" s="228">
        <v>1</v>
      </c>
      <c r="P22" s="160">
        <f t="shared" si="0"/>
        <v>1</v>
      </c>
      <c r="Q22" s="160">
        <f t="shared" si="1"/>
        <v>2</v>
      </c>
      <c r="R22" s="160">
        <f>Q22*0.254</f>
        <v>0.50800000000000001</v>
      </c>
      <c r="S22" s="160" t="s">
        <v>511</v>
      </c>
      <c r="T22" s="229"/>
    </row>
    <row r="23" spans="1:20" x14ac:dyDescent="0.2">
      <c r="A23" s="399"/>
      <c r="B23" s="308"/>
      <c r="C23" s="308"/>
      <c r="D23" s="399"/>
      <c r="E23" s="400"/>
      <c r="F23" s="402"/>
      <c r="G23" s="398"/>
      <c r="H23" s="398"/>
      <c r="I23" s="398"/>
      <c r="J23" s="398"/>
      <c r="K23" s="398"/>
      <c r="L23" s="226">
        <v>16</v>
      </c>
      <c r="M23" s="231" t="s">
        <v>613</v>
      </c>
      <c r="N23" s="232" t="s">
        <v>614</v>
      </c>
      <c r="O23" s="228">
        <v>2</v>
      </c>
      <c r="P23" s="160">
        <f t="shared" si="0"/>
        <v>2</v>
      </c>
      <c r="Q23" s="160">
        <f t="shared" si="1"/>
        <v>4</v>
      </c>
      <c r="R23" s="160">
        <f>Q23*0.088</f>
        <v>0.35199999999999998</v>
      </c>
      <c r="S23" s="160" t="s">
        <v>511</v>
      </c>
      <c r="T23" s="229"/>
    </row>
    <row r="24" spans="1:20" x14ac:dyDescent="0.2">
      <c r="J24" s="5"/>
      <c r="K24" s="5"/>
    </row>
    <row r="35" spans="1:20" ht="19.5" x14ac:dyDescent="0.2">
      <c r="A35" s="276" t="s">
        <v>0</v>
      </c>
      <c r="B35" s="277"/>
      <c r="C35" s="277"/>
      <c r="D35" s="11"/>
      <c r="E35" s="12"/>
      <c r="F35" s="12" t="s">
        <v>14</v>
      </c>
      <c r="G35" s="13"/>
      <c r="H35" s="12"/>
      <c r="I35" s="12" t="s">
        <v>13</v>
      </c>
      <c r="J35" s="12"/>
      <c r="K35" s="13"/>
      <c r="L35" s="11"/>
      <c r="M35" s="12"/>
      <c r="N35" s="6" t="s">
        <v>1</v>
      </c>
      <c r="O35" s="12"/>
      <c r="P35" s="12"/>
      <c r="Q35" s="12"/>
      <c r="R35" s="21"/>
      <c r="S35" s="21"/>
      <c r="T35" s="17" t="s">
        <v>15</v>
      </c>
    </row>
    <row r="36" spans="1:20" ht="50.25" customHeight="1" x14ac:dyDescent="0.2">
      <c r="A36" s="29" t="s">
        <v>2</v>
      </c>
      <c r="B36" s="29" t="s">
        <v>507</v>
      </c>
      <c r="C36" s="30" t="s">
        <v>3</v>
      </c>
      <c r="D36" s="30" t="s">
        <v>4</v>
      </c>
      <c r="E36" s="31" t="s">
        <v>5</v>
      </c>
      <c r="F36" s="30" t="s">
        <v>6</v>
      </c>
      <c r="G36" s="30" t="s">
        <v>3</v>
      </c>
      <c r="H36" s="30" t="s">
        <v>10</v>
      </c>
      <c r="I36" s="30" t="s">
        <v>5</v>
      </c>
      <c r="J36" s="29" t="s">
        <v>12</v>
      </c>
      <c r="K36" s="30" t="s">
        <v>11</v>
      </c>
      <c r="L36" s="32" t="s">
        <v>7</v>
      </c>
      <c r="M36" s="31" t="s">
        <v>5</v>
      </c>
      <c r="N36" s="31" t="s">
        <v>9</v>
      </c>
      <c r="O36" s="30" t="s">
        <v>8</v>
      </c>
      <c r="P36" s="30" t="s">
        <v>6</v>
      </c>
      <c r="Q36" s="233" t="s">
        <v>3</v>
      </c>
      <c r="R36" s="233" t="s">
        <v>17</v>
      </c>
      <c r="S36" s="233" t="s">
        <v>18</v>
      </c>
      <c r="T36" s="30" t="s">
        <v>16</v>
      </c>
    </row>
    <row r="37" spans="1:20" ht="14.25" customHeight="1" x14ac:dyDescent="0.2">
      <c r="A37" s="403" t="s">
        <v>348</v>
      </c>
      <c r="B37" s="406">
        <f>'درام روتاری'!B8</f>
        <v>15</v>
      </c>
      <c r="C37" s="401" t="s">
        <v>19</v>
      </c>
      <c r="D37" s="401" t="s">
        <v>265</v>
      </c>
      <c r="E37" s="401" t="s">
        <v>590</v>
      </c>
      <c r="F37" s="401" t="s">
        <v>19</v>
      </c>
      <c r="G37" s="413">
        <f>F37*C37</f>
        <v>1</v>
      </c>
      <c r="H37" s="298" t="s">
        <v>260</v>
      </c>
      <c r="I37" s="298" t="s">
        <v>590</v>
      </c>
      <c r="J37" s="298">
        <v>1</v>
      </c>
      <c r="K37" s="298">
        <v>2</v>
      </c>
      <c r="L37" s="49" t="s">
        <v>67</v>
      </c>
      <c r="M37" s="53" t="s">
        <v>615</v>
      </c>
      <c r="N37" s="234" t="s">
        <v>616</v>
      </c>
      <c r="O37" s="198">
        <v>2</v>
      </c>
      <c r="P37" s="198">
        <f>O37*$F$37</f>
        <v>2</v>
      </c>
      <c r="Q37" s="198">
        <f>P37*C$37</f>
        <v>2</v>
      </c>
      <c r="R37" s="198">
        <f>Q37</f>
        <v>2</v>
      </c>
      <c r="S37" s="158" t="s">
        <v>533</v>
      </c>
      <c r="T37" s="161"/>
    </row>
    <row r="38" spans="1:20" ht="14.25" customHeight="1" x14ac:dyDescent="0.2">
      <c r="A38" s="404"/>
      <c r="B38" s="407"/>
      <c r="C38" s="396"/>
      <c r="D38" s="396"/>
      <c r="E38" s="396"/>
      <c r="F38" s="396"/>
      <c r="G38" s="394"/>
      <c r="H38" s="298"/>
      <c r="I38" s="298"/>
      <c r="J38" s="298"/>
      <c r="K38" s="298"/>
      <c r="L38" s="49" t="s">
        <v>68</v>
      </c>
      <c r="M38" s="53" t="s">
        <v>617</v>
      </c>
      <c r="N38" s="234" t="s">
        <v>618</v>
      </c>
      <c r="O38" s="198">
        <v>2</v>
      </c>
      <c r="P38" s="198">
        <f t="shared" ref="P38:P49" si="2">O38*$F$37</f>
        <v>2</v>
      </c>
      <c r="Q38" s="198">
        <f t="shared" ref="Q38:Q49" si="3">P38*C$37</f>
        <v>2</v>
      </c>
      <c r="R38" s="198">
        <f t="shared" ref="R38:R49" si="4">Q38</f>
        <v>2</v>
      </c>
      <c r="S38" s="158" t="s">
        <v>533</v>
      </c>
      <c r="T38" s="161"/>
    </row>
    <row r="39" spans="1:20" ht="14.25" customHeight="1" x14ac:dyDescent="0.2">
      <c r="A39" s="404"/>
      <c r="B39" s="407"/>
      <c r="C39" s="396"/>
      <c r="D39" s="396"/>
      <c r="E39" s="396"/>
      <c r="F39" s="396"/>
      <c r="G39" s="394"/>
      <c r="H39" s="298"/>
      <c r="I39" s="298"/>
      <c r="J39" s="298"/>
      <c r="K39" s="298"/>
      <c r="L39" s="49" t="s">
        <v>69</v>
      </c>
      <c r="M39" s="53" t="s">
        <v>619</v>
      </c>
      <c r="N39" s="234" t="s">
        <v>620</v>
      </c>
      <c r="O39" s="198">
        <v>4</v>
      </c>
      <c r="P39" s="198">
        <f t="shared" si="2"/>
        <v>4</v>
      </c>
      <c r="Q39" s="198">
        <f t="shared" si="3"/>
        <v>4</v>
      </c>
      <c r="R39" s="198">
        <f t="shared" si="4"/>
        <v>4</v>
      </c>
      <c r="S39" s="158" t="s">
        <v>533</v>
      </c>
      <c r="T39" s="161"/>
    </row>
    <row r="40" spans="1:20" ht="14.25" customHeight="1" x14ac:dyDescent="0.2">
      <c r="A40" s="404"/>
      <c r="B40" s="407"/>
      <c r="C40" s="396"/>
      <c r="D40" s="396"/>
      <c r="E40" s="396"/>
      <c r="F40" s="396"/>
      <c r="G40" s="394"/>
      <c r="H40" s="369"/>
      <c r="I40" s="369"/>
      <c r="J40" s="369"/>
      <c r="K40" s="369"/>
      <c r="L40" s="49" t="s">
        <v>70</v>
      </c>
      <c r="M40" s="53" t="s">
        <v>621</v>
      </c>
      <c r="N40" s="234" t="s">
        <v>620</v>
      </c>
      <c r="O40" s="198">
        <v>2</v>
      </c>
      <c r="P40" s="198">
        <f t="shared" si="2"/>
        <v>2</v>
      </c>
      <c r="Q40" s="198">
        <f t="shared" si="3"/>
        <v>2</v>
      </c>
      <c r="R40" s="198">
        <f t="shared" si="4"/>
        <v>2</v>
      </c>
      <c r="S40" s="158" t="s">
        <v>533</v>
      </c>
      <c r="T40" s="235"/>
    </row>
    <row r="41" spans="1:20" ht="14.25" customHeight="1" x14ac:dyDescent="0.2">
      <c r="A41" s="404"/>
      <c r="B41" s="407"/>
      <c r="C41" s="396"/>
      <c r="D41" s="396"/>
      <c r="E41" s="396"/>
      <c r="F41" s="396"/>
      <c r="G41" s="394"/>
      <c r="H41" s="369"/>
      <c r="I41" s="369"/>
      <c r="J41" s="369"/>
      <c r="K41" s="369"/>
      <c r="L41" s="103" t="s">
        <v>77</v>
      </c>
      <c r="M41" s="236" t="s">
        <v>622</v>
      </c>
      <c r="N41" s="236" t="s">
        <v>623</v>
      </c>
      <c r="O41" s="237">
        <v>1</v>
      </c>
      <c r="P41" s="237">
        <f t="shared" si="2"/>
        <v>1</v>
      </c>
      <c r="Q41" s="237">
        <f t="shared" si="3"/>
        <v>1</v>
      </c>
      <c r="R41" s="237">
        <f t="shared" si="4"/>
        <v>1</v>
      </c>
      <c r="S41" s="237" t="s">
        <v>533</v>
      </c>
      <c r="T41" s="235"/>
    </row>
    <row r="42" spans="1:20" ht="14.25" customHeight="1" thickBot="1" x14ac:dyDescent="0.25">
      <c r="A42" s="404"/>
      <c r="B42" s="407"/>
      <c r="C42" s="396"/>
      <c r="D42" s="396"/>
      <c r="E42" s="396"/>
      <c r="F42" s="396"/>
      <c r="G42" s="394"/>
      <c r="H42" s="409"/>
      <c r="I42" s="409"/>
      <c r="J42" s="409"/>
      <c r="K42" s="409"/>
      <c r="L42" s="69" t="s">
        <v>78</v>
      </c>
      <c r="M42" s="238" t="s">
        <v>624</v>
      </c>
      <c r="N42" s="238" t="s">
        <v>625</v>
      </c>
      <c r="O42" s="239">
        <v>1</v>
      </c>
      <c r="P42" s="239">
        <f t="shared" si="2"/>
        <v>1</v>
      </c>
      <c r="Q42" s="239">
        <f t="shared" si="3"/>
        <v>1</v>
      </c>
      <c r="R42" s="239">
        <f t="shared" si="4"/>
        <v>1</v>
      </c>
      <c r="S42" s="239" t="s">
        <v>533</v>
      </c>
      <c r="T42" s="166"/>
    </row>
    <row r="43" spans="1:20" ht="14.25" customHeight="1" thickBot="1" x14ac:dyDescent="0.25">
      <c r="A43" s="404"/>
      <c r="B43" s="407"/>
      <c r="C43" s="396"/>
      <c r="D43" s="396"/>
      <c r="E43" s="396"/>
      <c r="F43" s="396"/>
      <c r="G43" s="394"/>
      <c r="H43" s="240" t="s">
        <v>44</v>
      </c>
      <c r="I43" s="240" t="s">
        <v>583</v>
      </c>
      <c r="J43" s="240" t="s">
        <v>44</v>
      </c>
      <c r="K43" s="240" t="s">
        <v>44</v>
      </c>
      <c r="L43" s="101" t="s">
        <v>19</v>
      </c>
      <c r="M43" s="241" t="s">
        <v>583</v>
      </c>
      <c r="N43" s="242" t="s">
        <v>584</v>
      </c>
      <c r="O43" s="243">
        <v>1</v>
      </c>
      <c r="P43" s="243">
        <f t="shared" si="2"/>
        <v>1</v>
      </c>
      <c r="Q43" s="243">
        <f t="shared" si="3"/>
        <v>1</v>
      </c>
      <c r="R43" s="243">
        <f t="shared" si="4"/>
        <v>1</v>
      </c>
      <c r="S43" s="243" t="s">
        <v>533</v>
      </c>
      <c r="T43" s="244"/>
    </row>
    <row r="44" spans="1:20" ht="14.25" customHeight="1" x14ac:dyDescent="0.2">
      <c r="A44" s="404"/>
      <c r="B44" s="407"/>
      <c r="C44" s="396"/>
      <c r="D44" s="396"/>
      <c r="E44" s="396"/>
      <c r="F44" s="396"/>
      <c r="G44" s="394"/>
      <c r="H44" s="383" t="s">
        <v>265</v>
      </c>
      <c r="I44" s="410" t="s">
        <v>311</v>
      </c>
      <c r="J44" s="383">
        <v>1</v>
      </c>
      <c r="K44" s="383">
        <v>2</v>
      </c>
      <c r="L44" s="96" t="s">
        <v>19</v>
      </c>
      <c r="M44" s="245" t="s">
        <v>417</v>
      </c>
      <c r="N44" s="245" t="s">
        <v>275</v>
      </c>
      <c r="O44" s="246">
        <v>6</v>
      </c>
      <c r="P44" s="246">
        <f t="shared" si="2"/>
        <v>6</v>
      </c>
      <c r="Q44" s="246">
        <f t="shared" si="3"/>
        <v>6</v>
      </c>
      <c r="R44" s="246">
        <f t="shared" si="4"/>
        <v>6</v>
      </c>
      <c r="S44" s="246" t="s">
        <v>533</v>
      </c>
      <c r="T44" s="235"/>
    </row>
    <row r="45" spans="1:20" ht="14.25" customHeight="1" x14ac:dyDescent="0.2">
      <c r="A45" s="404"/>
      <c r="B45" s="407"/>
      <c r="C45" s="396"/>
      <c r="D45" s="396"/>
      <c r="E45" s="396"/>
      <c r="F45" s="396"/>
      <c r="G45" s="394"/>
      <c r="H45" s="364"/>
      <c r="I45" s="411"/>
      <c r="J45" s="364"/>
      <c r="K45" s="364"/>
      <c r="L45" s="145" t="s">
        <v>21</v>
      </c>
      <c r="M45" s="234" t="s">
        <v>84</v>
      </c>
      <c r="N45" s="234" t="s">
        <v>276</v>
      </c>
      <c r="O45" s="209">
        <v>6</v>
      </c>
      <c r="P45" s="209">
        <f t="shared" si="2"/>
        <v>6</v>
      </c>
      <c r="Q45" s="209">
        <f t="shared" si="3"/>
        <v>6</v>
      </c>
      <c r="R45" s="209">
        <f t="shared" si="4"/>
        <v>6</v>
      </c>
      <c r="S45" s="209" t="s">
        <v>533</v>
      </c>
      <c r="T45" s="199"/>
    </row>
    <row r="46" spans="1:20" ht="14.25" customHeight="1" x14ac:dyDescent="0.2">
      <c r="A46" s="404"/>
      <c r="B46" s="407"/>
      <c r="C46" s="396"/>
      <c r="D46" s="396"/>
      <c r="E46" s="396"/>
      <c r="F46" s="396"/>
      <c r="G46" s="394"/>
      <c r="H46" s="364"/>
      <c r="I46" s="411"/>
      <c r="J46" s="364"/>
      <c r="K46" s="364"/>
      <c r="L46" s="145" t="s">
        <v>23</v>
      </c>
      <c r="M46" s="74" t="s">
        <v>626</v>
      </c>
      <c r="N46" s="247" t="s">
        <v>585</v>
      </c>
      <c r="O46" s="248">
        <v>2</v>
      </c>
      <c r="P46" s="248">
        <f t="shared" si="2"/>
        <v>2</v>
      </c>
      <c r="Q46" s="248">
        <f t="shared" si="3"/>
        <v>2</v>
      </c>
      <c r="R46" s="248">
        <f t="shared" si="4"/>
        <v>2</v>
      </c>
      <c r="S46" s="248" t="s">
        <v>533</v>
      </c>
      <c r="T46" s="187"/>
    </row>
    <row r="47" spans="1:20" ht="14.25" customHeight="1" x14ac:dyDescent="0.2">
      <c r="A47" s="404"/>
      <c r="B47" s="407"/>
      <c r="C47" s="396"/>
      <c r="D47" s="396"/>
      <c r="E47" s="396"/>
      <c r="F47" s="396"/>
      <c r="G47" s="394"/>
      <c r="H47" s="364"/>
      <c r="I47" s="411"/>
      <c r="J47" s="364"/>
      <c r="K47" s="364"/>
      <c r="L47" s="49" t="s">
        <v>26</v>
      </c>
      <c r="M47" s="53" t="s">
        <v>627</v>
      </c>
      <c r="N47" s="52" t="s">
        <v>586</v>
      </c>
      <c r="O47" s="209">
        <v>2</v>
      </c>
      <c r="P47" s="209">
        <f t="shared" si="2"/>
        <v>2</v>
      </c>
      <c r="Q47" s="209">
        <f t="shared" si="3"/>
        <v>2</v>
      </c>
      <c r="R47" s="209">
        <f t="shared" si="4"/>
        <v>2</v>
      </c>
      <c r="S47" s="209" t="s">
        <v>533</v>
      </c>
      <c r="T47" s="161"/>
    </row>
    <row r="48" spans="1:20" ht="14.25" customHeight="1" x14ac:dyDescent="0.2">
      <c r="A48" s="404"/>
      <c r="B48" s="407"/>
      <c r="C48" s="396"/>
      <c r="D48" s="396"/>
      <c r="E48" s="396"/>
      <c r="F48" s="396"/>
      <c r="G48" s="394"/>
      <c r="H48" s="364"/>
      <c r="I48" s="411"/>
      <c r="J48" s="364"/>
      <c r="K48" s="364"/>
      <c r="L48" s="49" t="s">
        <v>29</v>
      </c>
      <c r="M48" s="53" t="s">
        <v>628</v>
      </c>
      <c r="N48" s="52" t="s">
        <v>588</v>
      </c>
      <c r="O48" s="209">
        <v>2</v>
      </c>
      <c r="P48" s="209">
        <f t="shared" si="2"/>
        <v>2</v>
      </c>
      <c r="Q48" s="209">
        <f t="shared" si="3"/>
        <v>2</v>
      </c>
      <c r="R48" s="209">
        <f t="shared" si="4"/>
        <v>2</v>
      </c>
      <c r="S48" s="209" t="s">
        <v>533</v>
      </c>
      <c r="T48" s="161"/>
    </row>
    <row r="49" spans="1:20" ht="14.25" customHeight="1" x14ac:dyDescent="0.2">
      <c r="A49" s="405"/>
      <c r="B49" s="408"/>
      <c r="C49" s="397"/>
      <c r="D49" s="397"/>
      <c r="E49" s="397"/>
      <c r="F49" s="397"/>
      <c r="G49" s="395"/>
      <c r="H49" s="365"/>
      <c r="I49" s="412"/>
      <c r="J49" s="365"/>
      <c r="K49" s="365"/>
      <c r="L49" s="49" t="s">
        <v>32</v>
      </c>
      <c r="M49" s="53" t="s">
        <v>629</v>
      </c>
      <c r="N49" s="52" t="s">
        <v>588</v>
      </c>
      <c r="O49" s="209">
        <v>2</v>
      </c>
      <c r="P49" s="209">
        <f t="shared" si="2"/>
        <v>2</v>
      </c>
      <c r="Q49" s="209">
        <f t="shared" si="3"/>
        <v>2</v>
      </c>
      <c r="R49" s="209">
        <f t="shared" si="4"/>
        <v>2</v>
      </c>
      <c r="S49" s="209" t="s">
        <v>533</v>
      </c>
      <c r="T49" s="161"/>
    </row>
  </sheetData>
  <mergeCells count="28">
    <mergeCell ref="K37:K42"/>
    <mergeCell ref="H44:H49"/>
    <mergeCell ref="I44:I49"/>
    <mergeCell ref="J44:J49"/>
    <mergeCell ref="K44:K49"/>
    <mergeCell ref="H37:H42"/>
    <mergeCell ref="I37:I42"/>
    <mergeCell ref="J37:J42"/>
    <mergeCell ref="A35:C35"/>
    <mergeCell ref="A37:A49"/>
    <mergeCell ref="B37:B49"/>
    <mergeCell ref="C37:C49"/>
    <mergeCell ref="D37:D49"/>
    <mergeCell ref="E37:E49"/>
    <mergeCell ref="F8:F23"/>
    <mergeCell ref="G8:G23"/>
    <mergeCell ref="H8:H23"/>
    <mergeCell ref="I8:I23"/>
    <mergeCell ref="F37:F49"/>
    <mergeCell ref="G37:G49"/>
    <mergeCell ref="J8:J23"/>
    <mergeCell ref="K8:K23"/>
    <mergeCell ref="A6:C6"/>
    <mergeCell ref="A8:A23"/>
    <mergeCell ref="B8:B23"/>
    <mergeCell ref="C8:C23"/>
    <mergeCell ref="D8:D23"/>
    <mergeCell ref="E8:E23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topLeftCell="A4" zoomScaleNormal="100" workbookViewId="0">
      <selection activeCell="K12" sqref="K12"/>
    </sheetView>
  </sheetViews>
  <sheetFormatPr defaultRowHeight="14.25" x14ac:dyDescent="0.2"/>
  <cols>
    <col min="1" max="1" width="5" customWidth="1"/>
    <col min="2" max="2" width="4.375" customWidth="1"/>
    <col min="3" max="3" width="4.625" customWidth="1"/>
    <col min="4" max="4" width="5.25" customWidth="1"/>
    <col min="5" max="5" width="5" customWidth="1"/>
    <col min="6" max="6" width="5.375" customWidth="1"/>
    <col min="7" max="7" width="5.125" customWidth="1"/>
    <col min="8" max="8" width="5" customWidth="1"/>
    <col min="9" max="9" width="11.25" customWidth="1"/>
    <col min="10" max="10" width="4.375" customWidth="1"/>
    <col min="11" max="11" width="4.625" customWidth="1"/>
    <col min="12" max="12" width="5" customWidth="1"/>
    <col min="13" max="13" width="16.3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9" customHeight="1" x14ac:dyDescent="0.2"/>
    <row r="6" spans="1:20" ht="19.5" x14ac:dyDescent="0.2">
      <c r="A6" s="276" t="s">
        <v>0</v>
      </c>
      <c r="B6" s="277"/>
      <c r="C6" s="277"/>
      <c r="D6" s="11"/>
      <c r="E6" s="12"/>
      <c r="F6" s="12" t="s">
        <v>14</v>
      </c>
      <c r="G6" s="13"/>
      <c r="H6" s="12"/>
      <c r="I6" s="12" t="s">
        <v>13</v>
      </c>
      <c r="J6" s="12"/>
      <c r="K6" s="13"/>
      <c r="L6" s="11"/>
      <c r="M6" s="12"/>
      <c r="N6" s="6" t="s">
        <v>1</v>
      </c>
      <c r="O6" s="12"/>
      <c r="P6" s="12"/>
      <c r="Q6" s="12"/>
      <c r="R6" s="21"/>
      <c r="S6" s="21"/>
      <c r="T6" s="17" t="s">
        <v>15</v>
      </c>
    </row>
    <row r="7" spans="1:20" ht="50.25" customHeight="1" x14ac:dyDescent="0.2">
      <c r="A7" s="20" t="s">
        <v>2</v>
      </c>
      <c r="B7" s="20" t="s">
        <v>507</v>
      </c>
      <c r="C7" s="3" t="s">
        <v>3</v>
      </c>
      <c r="D7" s="14" t="s">
        <v>4</v>
      </c>
      <c r="E7" s="15" t="s">
        <v>5</v>
      </c>
      <c r="F7" s="14" t="s">
        <v>6</v>
      </c>
      <c r="G7" s="14" t="s">
        <v>3</v>
      </c>
      <c r="H7" s="3" t="s">
        <v>10</v>
      </c>
      <c r="I7" s="30" t="s">
        <v>5</v>
      </c>
      <c r="J7" s="20" t="s">
        <v>12</v>
      </c>
      <c r="K7" s="3" t="s">
        <v>11</v>
      </c>
      <c r="L7" s="1" t="s">
        <v>7</v>
      </c>
      <c r="M7" s="31" t="s">
        <v>5</v>
      </c>
      <c r="N7" s="2" t="s">
        <v>9</v>
      </c>
      <c r="O7" s="3" t="s">
        <v>8</v>
      </c>
      <c r="P7" s="3" t="s">
        <v>6</v>
      </c>
      <c r="Q7" s="16" t="s">
        <v>3</v>
      </c>
      <c r="R7" s="16" t="s">
        <v>17</v>
      </c>
      <c r="S7" s="16" t="s">
        <v>18</v>
      </c>
      <c r="T7" s="30" t="s">
        <v>16</v>
      </c>
    </row>
    <row r="8" spans="1:20" ht="14.25" customHeight="1" x14ac:dyDescent="0.2">
      <c r="A8" s="415" t="s">
        <v>348</v>
      </c>
      <c r="B8" s="378">
        <f>'درام روتاری'!B8</f>
        <v>15</v>
      </c>
      <c r="C8" s="416">
        <v>2</v>
      </c>
      <c r="D8" s="415" t="s">
        <v>348</v>
      </c>
      <c r="E8" s="414" t="s">
        <v>188</v>
      </c>
      <c r="F8" s="298" t="s">
        <v>19</v>
      </c>
      <c r="G8" s="300">
        <f>F8*C8</f>
        <v>2</v>
      </c>
      <c r="H8" s="249" t="s">
        <v>44</v>
      </c>
      <c r="I8" s="250" t="s">
        <v>630</v>
      </c>
      <c r="J8" s="249" t="s">
        <v>44</v>
      </c>
      <c r="K8" s="249" t="s">
        <v>44</v>
      </c>
      <c r="L8" s="49" t="s">
        <v>19</v>
      </c>
      <c r="M8" s="250" t="s">
        <v>630</v>
      </c>
      <c r="N8" s="142" t="s">
        <v>631</v>
      </c>
      <c r="O8" s="157">
        <v>1</v>
      </c>
      <c r="P8" s="157">
        <f>O8*$F$8</f>
        <v>1</v>
      </c>
      <c r="Q8" s="157">
        <f>P8*$C$8</f>
        <v>2</v>
      </c>
      <c r="R8" s="251">
        <f>15.7*$Q$8</f>
        <v>31.4</v>
      </c>
      <c r="S8" s="198" t="s">
        <v>511</v>
      </c>
      <c r="T8" s="54"/>
    </row>
    <row r="9" spans="1:20" ht="14.25" customHeight="1" x14ac:dyDescent="0.2">
      <c r="A9" s="415"/>
      <c r="B9" s="379"/>
      <c r="C9" s="416"/>
      <c r="D9" s="415"/>
      <c r="E9" s="414"/>
      <c r="F9" s="298"/>
      <c r="G9" s="300"/>
      <c r="H9" s="50" t="s">
        <v>44</v>
      </c>
      <c r="I9" s="47" t="s">
        <v>632</v>
      </c>
      <c r="J9" s="249" t="s">
        <v>44</v>
      </c>
      <c r="K9" s="249" t="s">
        <v>44</v>
      </c>
      <c r="L9" s="145" t="s">
        <v>21</v>
      </c>
      <c r="M9" s="47" t="s">
        <v>632</v>
      </c>
      <c r="N9" s="142" t="s">
        <v>631</v>
      </c>
      <c r="O9" s="157">
        <v>1</v>
      </c>
      <c r="P9" s="157">
        <f t="shared" ref="P9:P24" si="0">O9*$F$8</f>
        <v>1</v>
      </c>
      <c r="Q9" s="157">
        <f t="shared" ref="Q9:R24" si="1">P9*$C$8</f>
        <v>2</v>
      </c>
      <c r="R9" s="251">
        <f t="shared" ref="R9:R11" si="2">15.7*$Q$8</f>
        <v>31.4</v>
      </c>
      <c r="S9" s="198" t="s">
        <v>511</v>
      </c>
      <c r="T9" s="54"/>
    </row>
    <row r="10" spans="1:20" ht="14.25" customHeight="1" x14ac:dyDescent="0.2">
      <c r="A10" s="415"/>
      <c r="B10" s="379"/>
      <c r="C10" s="416"/>
      <c r="D10" s="415"/>
      <c r="E10" s="414"/>
      <c r="F10" s="298"/>
      <c r="G10" s="300"/>
      <c r="H10" s="50" t="s">
        <v>44</v>
      </c>
      <c r="I10" s="47" t="s">
        <v>633</v>
      </c>
      <c r="J10" s="249" t="s">
        <v>44</v>
      </c>
      <c r="K10" s="249" t="s">
        <v>44</v>
      </c>
      <c r="L10" s="49" t="s">
        <v>23</v>
      </c>
      <c r="M10" s="47" t="s">
        <v>633</v>
      </c>
      <c r="N10" s="142" t="s">
        <v>631</v>
      </c>
      <c r="O10" s="157">
        <v>1</v>
      </c>
      <c r="P10" s="157">
        <f t="shared" si="0"/>
        <v>1</v>
      </c>
      <c r="Q10" s="157">
        <f t="shared" si="1"/>
        <v>2</v>
      </c>
      <c r="R10" s="251">
        <f t="shared" si="2"/>
        <v>31.4</v>
      </c>
      <c r="S10" s="198" t="s">
        <v>511</v>
      </c>
      <c r="T10" s="54"/>
    </row>
    <row r="11" spans="1:20" ht="14.25" customHeight="1" x14ac:dyDescent="0.2">
      <c r="A11" s="415"/>
      <c r="B11" s="379"/>
      <c r="C11" s="416"/>
      <c r="D11" s="415"/>
      <c r="E11" s="414"/>
      <c r="F11" s="298"/>
      <c r="G11" s="300"/>
      <c r="H11" s="50" t="s">
        <v>44</v>
      </c>
      <c r="I11" s="47" t="s">
        <v>634</v>
      </c>
      <c r="J11" s="249" t="s">
        <v>44</v>
      </c>
      <c r="K11" s="249" t="s">
        <v>44</v>
      </c>
      <c r="L11" s="49" t="s">
        <v>26</v>
      </c>
      <c r="M11" s="47" t="s">
        <v>634</v>
      </c>
      <c r="N11" s="142" t="s">
        <v>631</v>
      </c>
      <c r="O11" s="157">
        <v>1</v>
      </c>
      <c r="P11" s="157">
        <f t="shared" si="0"/>
        <v>1</v>
      </c>
      <c r="Q11" s="157">
        <f t="shared" si="1"/>
        <v>2</v>
      </c>
      <c r="R11" s="251">
        <f t="shared" si="2"/>
        <v>31.4</v>
      </c>
      <c r="S11" s="198" t="s">
        <v>511</v>
      </c>
      <c r="T11" s="54"/>
    </row>
    <row r="12" spans="1:20" ht="14.25" customHeight="1" x14ac:dyDescent="0.2">
      <c r="A12" s="415"/>
      <c r="B12" s="379"/>
      <c r="C12" s="416"/>
      <c r="D12" s="415"/>
      <c r="E12" s="414"/>
      <c r="F12" s="298"/>
      <c r="G12" s="300"/>
      <c r="H12" s="252" t="s">
        <v>44</v>
      </c>
      <c r="I12" s="47" t="s">
        <v>635</v>
      </c>
      <c r="J12" s="252" t="s">
        <v>44</v>
      </c>
      <c r="K12" s="249" t="s">
        <v>44</v>
      </c>
      <c r="L12" s="145" t="s">
        <v>29</v>
      </c>
      <c r="M12" s="47" t="s">
        <v>635</v>
      </c>
      <c r="N12" s="253" t="s">
        <v>636</v>
      </c>
      <c r="O12" s="157">
        <v>1</v>
      </c>
      <c r="P12" s="157">
        <f t="shared" si="0"/>
        <v>1</v>
      </c>
      <c r="Q12" s="157">
        <f t="shared" si="1"/>
        <v>2</v>
      </c>
      <c r="R12" s="251">
        <f>7.85*$Q$8</f>
        <v>15.7</v>
      </c>
      <c r="S12" s="198" t="s">
        <v>511</v>
      </c>
      <c r="T12" s="54"/>
    </row>
    <row r="13" spans="1:20" ht="14.25" customHeight="1" x14ac:dyDescent="0.2">
      <c r="A13" s="415"/>
      <c r="B13" s="379"/>
      <c r="C13" s="416"/>
      <c r="D13" s="415"/>
      <c r="E13" s="414"/>
      <c r="F13" s="298"/>
      <c r="G13" s="300"/>
      <c r="H13" s="252" t="s">
        <v>44</v>
      </c>
      <c r="I13" s="47" t="s">
        <v>637</v>
      </c>
      <c r="J13" s="252" t="s">
        <v>44</v>
      </c>
      <c r="K13" s="249" t="s">
        <v>44</v>
      </c>
      <c r="L13" s="145" t="s">
        <v>32</v>
      </c>
      <c r="M13" s="47" t="s">
        <v>637</v>
      </c>
      <c r="N13" s="253" t="s">
        <v>636</v>
      </c>
      <c r="O13" s="157">
        <v>1</v>
      </c>
      <c r="P13" s="157">
        <f t="shared" si="0"/>
        <v>1</v>
      </c>
      <c r="Q13" s="157">
        <f t="shared" si="1"/>
        <v>2</v>
      </c>
      <c r="R13" s="251">
        <f t="shared" ref="R13:R15" si="3">7.85*$Q$8</f>
        <v>15.7</v>
      </c>
      <c r="S13" s="198" t="s">
        <v>511</v>
      </c>
      <c r="T13" s="54"/>
    </row>
    <row r="14" spans="1:20" ht="14.25" customHeight="1" x14ac:dyDescent="0.2">
      <c r="A14" s="415"/>
      <c r="B14" s="379"/>
      <c r="C14" s="416"/>
      <c r="D14" s="415"/>
      <c r="E14" s="414"/>
      <c r="F14" s="298"/>
      <c r="G14" s="300"/>
      <c r="H14" s="252" t="s">
        <v>44</v>
      </c>
      <c r="I14" s="47" t="s">
        <v>638</v>
      </c>
      <c r="J14" s="252" t="s">
        <v>44</v>
      </c>
      <c r="K14" s="249" t="s">
        <v>44</v>
      </c>
      <c r="L14" s="145" t="s">
        <v>35</v>
      </c>
      <c r="M14" s="47" t="s">
        <v>638</v>
      </c>
      <c r="N14" s="253" t="s">
        <v>636</v>
      </c>
      <c r="O14" s="157">
        <v>1</v>
      </c>
      <c r="P14" s="157">
        <f t="shared" si="0"/>
        <v>1</v>
      </c>
      <c r="Q14" s="157">
        <f t="shared" si="1"/>
        <v>2</v>
      </c>
      <c r="R14" s="251">
        <f t="shared" si="3"/>
        <v>15.7</v>
      </c>
      <c r="S14" s="198" t="s">
        <v>511</v>
      </c>
      <c r="T14" s="54"/>
    </row>
    <row r="15" spans="1:20" ht="14.25" customHeight="1" x14ac:dyDescent="0.2">
      <c r="A15" s="415"/>
      <c r="B15" s="379"/>
      <c r="C15" s="416"/>
      <c r="D15" s="415"/>
      <c r="E15" s="414"/>
      <c r="F15" s="298"/>
      <c r="G15" s="300"/>
      <c r="H15" s="252" t="s">
        <v>44</v>
      </c>
      <c r="I15" s="47" t="s">
        <v>639</v>
      </c>
      <c r="J15" s="252" t="s">
        <v>44</v>
      </c>
      <c r="K15" s="249" t="s">
        <v>44</v>
      </c>
      <c r="L15" s="145" t="s">
        <v>37</v>
      </c>
      <c r="M15" s="47" t="s">
        <v>639</v>
      </c>
      <c r="N15" s="253" t="s">
        <v>636</v>
      </c>
      <c r="O15" s="157">
        <v>1</v>
      </c>
      <c r="P15" s="157">
        <f t="shared" si="0"/>
        <v>1</v>
      </c>
      <c r="Q15" s="157">
        <f t="shared" si="1"/>
        <v>2</v>
      </c>
      <c r="R15" s="251">
        <f t="shared" si="3"/>
        <v>15.7</v>
      </c>
      <c r="S15" s="198" t="s">
        <v>511</v>
      </c>
      <c r="T15" s="54"/>
    </row>
    <row r="16" spans="1:20" ht="14.25" customHeight="1" x14ac:dyDescent="0.2">
      <c r="A16" s="415"/>
      <c r="B16" s="379"/>
      <c r="C16" s="416"/>
      <c r="D16" s="415"/>
      <c r="E16" s="414"/>
      <c r="F16" s="298"/>
      <c r="G16" s="300"/>
      <c r="H16" s="249" t="s">
        <v>44</v>
      </c>
      <c r="I16" s="234" t="s">
        <v>640</v>
      </c>
      <c r="J16" s="249" t="s">
        <v>44</v>
      </c>
      <c r="K16" s="249" t="s">
        <v>44</v>
      </c>
      <c r="L16" s="49" t="s">
        <v>40</v>
      </c>
      <c r="M16" s="234" t="s">
        <v>640</v>
      </c>
      <c r="N16" s="142" t="s">
        <v>641</v>
      </c>
      <c r="O16" s="157" t="str">
        <f>IF(B8=30,"4",IF(B8=25,"0",IF(B8=20,"0",IF(B8=15,"0"))))</f>
        <v>0</v>
      </c>
      <c r="P16" s="157">
        <f t="shared" si="0"/>
        <v>0</v>
      </c>
      <c r="Q16" s="157">
        <f t="shared" si="1"/>
        <v>0</v>
      </c>
      <c r="R16" s="251">
        <f>Q16*4.38</f>
        <v>0</v>
      </c>
      <c r="S16" s="198" t="s">
        <v>511</v>
      </c>
      <c r="T16" s="54"/>
    </row>
    <row r="17" spans="1:28" ht="14.25" customHeight="1" x14ac:dyDescent="0.2">
      <c r="A17" s="415"/>
      <c r="B17" s="379"/>
      <c r="C17" s="416"/>
      <c r="D17" s="415"/>
      <c r="E17" s="414"/>
      <c r="F17" s="298"/>
      <c r="G17" s="300"/>
      <c r="H17" s="401" t="s">
        <v>260</v>
      </c>
      <c r="I17" s="401" t="s">
        <v>642</v>
      </c>
      <c r="J17" s="401" t="s">
        <v>21</v>
      </c>
      <c r="K17" s="413">
        <f>J17*G8</f>
        <v>4</v>
      </c>
      <c r="L17" s="145" t="s">
        <v>19</v>
      </c>
      <c r="M17" s="47" t="s">
        <v>643</v>
      </c>
      <c r="N17" s="142" t="s">
        <v>644</v>
      </c>
      <c r="O17" s="157">
        <v>2</v>
      </c>
      <c r="P17" s="157">
        <f t="shared" si="0"/>
        <v>2</v>
      </c>
      <c r="Q17" s="157">
        <f t="shared" si="1"/>
        <v>4</v>
      </c>
      <c r="R17" s="251">
        <f>Q17*0.1</f>
        <v>0.4</v>
      </c>
      <c r="S17" s="198" t="s">
        <v>511</v>
      </c>
      <c r="T17" s="54"/>
    </row>
    <row r="18" spans="1:28" ht="14.25" customHeight="1" x14ac:dyDescent="0.2">
      <c r="A18" s="415"/>
      <c r="B18" s="379"/>
      <c r="C18" s="416"/>
      <c r="D18" s="415"/>
      <c r="E18" s="414"/>
      <c r="F18" s="298"/>
      <c r="G18" s="300"/>
      <c r="H18" s="397"/>
      <c r="I18" s="397"/>
      <c r="J18" s="397"/>
      <c r="K18" s="395"/>
      <c r="L18" s="49" t="s">
        <v>21</v>
      </c>
      <c r="M18" s="47" t="s">
        <v>645</v>
      </c>
      <c r="N18" s="142" t="s">
        <v>646</v>
      </c>
      <c r="O18" s="157">
        <v>2</v>
      </c>
      <c r="P18" s="157">
        <f t="shared" si="0"/>
        <v>2</v>
      </c>
      <c r="Q18" s="157">
        <f t="shared" si="1"/>
        <v>4</v>
      </c>
      <c r="R18" s="251">
        <f>11.3*Q18</f>
        <v>45.2</v>
      </c>
      <c r="S18" s="198" t="s">
        <v>511</v>
      </c>
      <c r="T18" s="54"/>
    </row>
    <row r="19" spans="1:28" ht="14.25" customHeight="1" x14ac:dyDescent="0.2">
      <c r="A19" s="415"/>
      <c r="B19" s="379"/>
      <c r="C19" s="416"/>
      <c r="D19" s="415"/>
      <c r="E19" s="414"/>
      <c r="F19" s="298"/>
      <c r="G19" s="300"/>
      <c r="H19" s="401" t="s">
        <v>265</v>
      </c>
      <c r="I19" s="401" t="s">
        <v>647</v>
      </c>
      <c r="J19" s="401">
        <v>1</v>
      </c>
      <c r="K19" s="413">
        <f>J19*G8</f>
        <v>2</v>
      </c>
      <c r="L19" s="49" t="s">
        <v>19</v>
      </c>
      <c r="M19" s="47" t="s">
        <v>648</v>
      </c>
      <c r="N19" s="142" t="s">
        <v>313</v>
      </c>
      <c r="O19" s="157">
        <v>32</v>
      </c>
      <c r="P19" s="157">
        <f t="shared" si="0"/>
        <v>32</v>
      </c>
      <c r="Q19" s="157">
        <f t="shared" si="1"/>
        <v>64</v>
      </c>
      <c r="R19" s="157">
        <f t="shared" si="1"/>
        <v>128</v>
      </c>
      <c r="S19" s="198" t="s">
        <v>533</v>
      </c>
      <c r="T19" s="54"/>
    </row>
    <row r="20" spans="1:28" ht="14.25" customHeight="1" x14ac:dyDescent="0.2">
      <c r="A20" s="415"/>
      <c r="B20" s="379"/>
      <c r="C20" s="416"/>
      <c r="D20" s="415"/>
      <c r="E20" s="414"/>
      <c r="F20" s="298"/>
      <c r="G20" s="300"/>
      <c r="H20" s="396"/>
      <c r="I20" s="396"/>
      <c r="J20" s="396"/>
      <c r="K20" s="394"/>
      <c r="L20" s="145" t="s">
        <v>21</v>
      </c>
      <c r="M20" s="47" t="s">
        <v>649</v>
      </c>
      <c r="N20" s="142" t="s">
        <v>561</v>
      </c>
      <c r="O20" s="157">
        <v>32</v>
      </c>
      <c r="P20" s="157">
        <f t="shared" si="0"/>
        <v>32</v>
      </c>
      <c r="Q20" s="157">
        <f t="shared" si="1"/>
        <v>64</v>
      </c>
      <c r="R20" s="157">
        <f t="shared" si="1"/>
        <v>128</v>
      </c>
      <c r="S20" s="198" t="s">
        <v>533</v>
      </c>
      <c r="T20" s="54"/>
    </row>
    <row r="21" spans="1:28" ht="14.25" customHeight="1" x14ac:dyDescent="0.2">
      <c r="A21" s="415"/>
      <c r="B21" s="379"/>
      <c r="C21" s="416"/>
      <c r="D21" s="415"/>
      <c r="E21" s="414"/>
      <c r="F21" s="298"/>
      <c r="G21" s="300"/>
      <c r="H21" s="396"/>
      <c r="I21" s="396"/>
      <c r="J21" s="396"/>
      <c r="K21" s="394"/>
      <c r="L21" s="49" t="s">
        <v>23</v>
      </c>
      <c r="M21" s="47" t="s">
        <v>650</v>
      </c>
      <c r="N21" s="254" t="s">
        <v>313</v>
      </c>
      <c r="O21" s="185">
        <v>2</v>
      </c>
      <c r="P21" s="157">
        <f t="shared" si="0"/>
        <v>2</v>
      </c>
      <c r="Q21" s="157">
        <f t="shared" si="1"/>
        <v>4</v>
      </c>
      <c r="R21" s="157">
        <f t="shared" si="1"/>
        <v>8</v>
      </c>
      <c r="S21" s="205" t="s">
        <v>533</v>
      </c>
      <c r="T21" s="54"/>
      <c r="U21" s="58"/>
      <c r="V21" s="59"/>
      <c r="W21" s="255"/>
      <c r="X21" s="59"/>
      <c r="Y21" s="59"/>
      <c r="Z21" s="59"/>
      <c r="AA21" s="59"/>
      <c r="AB21" s="59"/>
    </row>
    <row r="22" spans="1:28" ht="14.25" customHeight="1" x14ac:dyDescent="0.2">
      <c r="A22" s="415"/>
      <c r="B22" s="379"/>
      <c r="C22" s="416"/>
      <c r="D22" s="415"/>
      <c r="E22" s="414"/>
      <c r="F22" s="298"/>
      <c r="G22" s="300"/>
      <c r="H22" s="396"/>
      <c r="I22" s="396"/>
      <c r="J22" s="396"/>
      <c r="K22" s="394"/>
      <c r="L22" s="49" t="s">
        <v>26</v>
      </c>
      <c r="M22" s="47" t="s">
        <v>651</v>
      </c>
      <c r="N22" s="142" t="s">
        <v>561</v>
      </c>
      <c r="O22" s="157">
        <v>2</v>
      </c>
      <c r="P22" s="157">
        <f t="shared" si="0"/>
        <v>2</v>
      </c>
      <c r="Q22" s="157">
        <f t="shared" si="1"/>
        <v>4</v>
      </c>
      <c r="R22" s="157">
        <f t="shared" si="1"/>
        <v>8</v>
      </c>
      <c r="S22" s="198" t="s">
        <v>533</v>
      </c>
      <c r="T22" s="54"/>
      <c r="U22" s="58"/>
      <c r="V22" s="255"/>
      <c r="W22" s="255"/>
      <c r="X22" s="59"/>
      <c r="Y22" s="59"/>
      <c r="Z22" s="59"/>
      <c r="AA22" s="59"/>
      <c r="AB22" s="59"/>
    </row>
    <row r="23" spans="1:28" ht="14.25" customHeight="1" x14ac:dyDescent="0.2">
      <c r="A23" s="415"/>
      <c r="B23" s="379"/>
      <c r="C23" s="416"/>
      <c r="D23" s="415"/>
      <c r="E23" s="414"/>
      <c r="F23" s="298"/>
      <c r="G23" s="300"/>
      <c r="H23" s="396"/>
      <c r="I23" s="396"/>
      <c r="J23" s="396"/>
      <c r="K23" s="394"/>
      <c r="L23" s="49" t="s">
        <v>29</v>
      </c>
      <c r="M23" s="234" t="s">
        <v>652</v>
      </c>
      <c r="N23" s="142" t="s">
        <v>570</v>
      </c>
      <c r="O23" s="157">
        <v>40</v>
      </c>
      <c r="P23" s="157">
        <f t="shared" si="0"/>
        <v>40</v>
      </c>
      <c r="Q23" s="157">
        <f t="shared" si="1"/>
        <v>80</v>
      </c>
      <c r="R23" s="157">
        <f t="shared" si="1"/>
        <v>160</v>
      </c>
      <c r="S23" s="198" t="s">
        <v>533</v>
      </c>
      <c r="T23" s="54"/>
    </row>
    <row r="24" spans="1:28" ht="14.25" customHeight="1" x14ac:dyDescent="0.2">
      <c r="A24" s="415"/>
      <c r="B24" s="380"/>
      <c r="C24" s="416"/>
      <c r="D24" s="415"/>
      <c r="E24" s="414"/>
      <c r="F24" s="298"/>
      <c r="G24" s="300"/>
      <c r="H24" s="397"/>
      <c r="I24" s="397"/>
      <c r="J24" s="397"/>
      <c r="K24" s="395"/>
      <c r="L24" s="145" t="s">
        <v>32</v>
      </c>
      <c r="M24" s="234" t="s">
        <v>653</v>
      </c>
      <c r="N24" s="142" t="s">
        <v>654</v>
      </c>
      <c r="O24" s="157">
        <v>40</v>
      </c>
      <c r="P24" s="157">
        <f t="shared" si="0"/>
        <v>40</v>
      </c>
      <c r="Q24" s="157">
        <f t="shared" si="1"/>
        <v>80</v>
      </c>
      <c r="R24" s="157">
        <f t="shared" si="1"/>
        <v>160</v>
      </c>
      <c r="S24" s="198" t="s">
        <v>533</v>
      </c>
      <c r="T24" s="54"/>
    </row>
  </sheetData>
  <mergeCells count="16">
    <mergeCell ref="F8:F24"/>
    <mergeCell ref="G8:G24"/>
    <mergeCell ref="H17:H18"/>
    <mergeCell ref="I17:I18"/>
    <mergeCell ref="J17:J18"/>
    <mergeCell ref="K17:K18"/>
    <mergeCell ref="H19:H24"/>
    <mergeCell ref="I19:I24"/>
    <mergeCell ref="J19:J24"/>
    <mergeCell ref="K19:K24"/>
    <mergeCell ref="E8:E24"/>
    <mergeCell ref="A6:C6"/>
    <mergeCell ref="A8:A24"/>
    <mergeCell ref="B8:B24"/>
    <mergeCell ref="C8:C24"/>
    <mergeCell ref="D8:D24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6"/>
  <sheetViews>
    <sheetView view="pageLayout" zoomScaleNormal="100" workbookViewId="0">
      <selection activeCell="M11" sqref="M11"/>
    </sheetView>
  </sheetViews>
  <sheetFormatPr defaultRowHeight="14.25" x14ac:dyDescent="0.2"/>
  <cols>
    <col min="1" max="1" width="5.375" customWidth="1"/>
    <col min="2" max="2" width="5.25" customWidth="1"/>
    <col min="3" max="4" width="5.125" customWidth="1"/>
    <col min="5" max="5" width="5" customWidth="1"/>
    <col min="6" max="6" width="5.375" customWidth="1"/>
    <col min="7" max="8" width="5.125" customWidth="1"/>
    <col min="9" max="9" width="10.87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375" customWidth="1"/>
    <col min="15" max="15" width="5.25" customWidth="1"/>
    <col min="16" max="16" width="5.375" customWidth="1"/>
    <col min="17" max="17" width="5.125" customWidth="1"/>
    <col min="18" max="18" width="4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4.5" customHeight="1" x14ac:dyDescent="0.2"/>
    <row r="6" spans="1:20" ht="19.5" x14ac:dyDescent="0.2">
      <c r="A6" s="276" t="s">
        <v>0</v>
      </c>
      <c r="B6" s="277"/>
      <c r="C6" s="277"/>
      <c r="D6" s="11"/>
      <c r="E6" s="12"/>
      <c r="F6" s="12" t="s">
        <v>14</v>
      </c>
      <c r="G6" s="13"/>
      <c r="H6" s="12"/>
      <c r="I6" s="12" t="s">
        <v>13</v>
      </c>
      <c r="J6" s="12"/>
      <c r="K6" s="13"/>
      <c r="L6" s="11"/>
      <c r="M6" s="12"/>
      <c r="N6" s="6" t="s">
        <v>1</v>
      </c>
      <c r="O6" s="12"/>
      <c r="P6" s="12"/>
      <c r="Q6" s="12"/>
      <c r="R6" s="21"/>
      <c r="S6" s="21"/>
      <c r="T6" s="17" t="s">
        <v>15</v>
      </c>
    </row>
    <row r="7" spans="1:20" ht="50.25" customHeight="1" x14ac:dyDescent="0.2">
      <c r="A7" s="20" t="s">
        <v>2</v>
      </c>
      <c r="B7" s="20" t="s">
        <v>507</v>
      </c>
      <c r="C7" s="3" t="s">
        <v>3</v>
      </c>
      <c r="D7" s="14" t="s">
        <v>4</v>
      </c>
      <c r="E7" s="15" t="s">
        <v>5</v>
      </c>
      <c r="F7" s="14" t="s">
        <v>6</v>
      </c>
      <c r="G7" s="14" t="s">
        <v>3</v>
      </c>
      <c r="H7" s="3" t="s">
        <v>10</v>
      </c>
      <c r="I7" s="3" t="s">
        <v>5</v>
      </c>
      <c r="J7" s="20" t="s">
        <v>12</v>
      </c>
      <c r="K7" s="3" t="s">
        <v>11</v>
      </c>
      <c r="L7" s="1" t="s">
        <v>7</v>
      </c>
      <c r="M7" s="31" t="s">
        <v>5</v>
      </c>
      <c r="N7" s="2" t="s">
        <v>9</v>
      </c>
      <c r="O7" s="3" t="s">
        <v>8</v>
      </c>
      <c r="P7" s="3" t="s">
        <v>6</v>
      </c>
      <c r="Q7" s="16" t="s">
        <v>3</v>
      </c>
      <c r="R7" s="16" t="s">
        <v>17</v>
      </c>
      <c r="S7" s="16" t="s">
        <v>18</v>
      </c>
      <c r="T7" s="3" t="s">
        <v>16</v>
      </c>
    </row>
    <row r="8" spans="1:20" ht="13.5" customHeight="1" x14ac:dyDescent="0.2">
      <c r="A8" s="295" t="s">
        <v>348</v>
      </c>
      <c r="B8" s="300">
        <f>'درام روتاری'!B8</f>
        <v>15</v>
      </c>
      <c r="C8" s="300">
        <v>1</v>
      </c>
      <c r="D8" s="295" t="s">
        <v>259</v>
      </c>
      <c r="E8" s="309" t="s">
        <v>655</v>
      </c>
      <c r="F8" s="298" t="s">
        <v>19</v>
      </c>
      <c r="G8" s="300">
        <v>1</v>
      </c>
      <c r="H8" s="417" t="s">
        <v>260</v>
      </c>
      <c r="I8" s="420" t="s">
        <v>656</v>
      </c>
      <c r="J8" s="363">
        <v>1</v>
      </c>
      <c r="K8" s="348">
        <f>J8*G8</f>
        <v>1</v>
      </c>
      <c r="L8" s="49" t="s">
        <v>19</v>
      </c>
      <c r="M8" s="8" t="s">
        <v>656</v>
      </c>
      <c r="N8" s="92" t="s">
        <v>657</v>
      </c>
      <c r="O8" s="92">
        <v>1</v>
      </c>
      <c r="P8" s="208">
        <f>O8*$F$8</f>
        <v>1</v>
      </c>
      <c r="Q8" s="208">
        <f>P8*$C$8</f>
        <v>1</v>
      </c>
      <c r="R8" s="256">
        <f>Q8*0.51</f>
        <v>0.51</v>
      </c>
      <c r="S8" s="53" t="s">
        <v>511</v>
      </c>
      <c r="T8" s="56"/>
    </row>
    <row r="9" spans="1:20" ht="13.5" customHeight="1" x14ac:dyDescent="0.2">
      <c r="A9" s="295"/>
      <c r="B9" s="300"/>
      <c r="C9" s="300"/>
      <c r="D9" s="295"/>
      <c r="E9" s="309"/>
      <c r="F9" s="298"/>
      <c r="G9" s="300"/>
      <c r="H9" s="418"/>
      <c r="I9" s="411"/>
      <c r="J9" s="364"/>
      <c r="K9" s="349"/>
      <c r="L9" s="49" t="s">
        <v>21</v>
      </c>
      <c r="M9" s="257" t="s">
        <v>658</v>
      </c>
      <c r="N9" s="105" t="s">
        <v>659</v>
      </c>
      <c r="O9" s="105">
        <v>2</v>
      </c>
      <c r="P9" s="208">
        <f t="shared" ref="P9:P26" si="0">O9*$F$8</f>
        <v>2</v>
      </c>
      <c r="Q9" s="208">
        <f t="shared" ref="Q9:R25" si="1">P9*$C$8</f>
        <v>2</v>
      </c>
      <c r="R9" s="208">
        <f t="shared" si="1"/>
        <v>2</v>
      </c>
      <c r="S9" s="53" t="s">
        <v>533</v>
      </c>
      <c r="T9" s="56"/>
    </row>
    <row r="10" spans="1:20" ht="13.5" customHeight="1" x14ac:dyDescent="0.2">
      <c r="A10" s="295"/>
      <c r="B10" s="300"/>
      <c r="C10" s="300"/>
      <c r="D10" s="295"/>
      <c r="E10" s="309"/>
      <c r="F10" s="298"/>
      <c r="G10" s="300"/>
      <c r="H10" s="418"/>
      <c r="I10" s="411"/>
      <c r="J10" s="364"/>
      <c r="K10" s="349"/>
      <c r="L10" s="49" t="s">
        <v>23</v>
      </c>
      <c r="M10" s="257" t="s">
        <v>660</v>
      </c>
      <c r="N10" s="105" t="s">
        <v>661</v>
      </c>
      <c r="O10" s="105">
        <v>1</v>
      </c>
      <c r="P10" s="208">
        <f t="shared" si="0"/>
        <v>1</v>
      </c>
      <c r="Q10" s="208">
        <f t="shared" si="1"/>
        <v>1</v>
      </c>
      <c r="R10" s="208">
        <f t="shared" si="1"/>
        <v>1</v>
      </c>
      <c r="S10" s="53" t="s">
        <v>533</v>
      </c>
      <c r="T10" s="56"/>
    </row>
    <row r="11" spans="1:20" ht="13.5" customHeight="1" x14ac:dyDescent="0.2">
      <c r="A11" s="295"/>
      <c r="B11" s="300"/>
      <c r="C11" s="300"/>
      <c r="D11" s="295"/>
      <c r="E11" s="309"/>
      <c r="F11" s="298"/>
      <c r="G11" s="300"/>
      <c r="H11" s="418"/>
      <c r="I11" s="411"/>
      <c r="J11" s="364"/>
      <c r="K11" s="349"/>
      <c r="L11" s="49" t="s">
        <v>26</v>
      </c>
      <c r="M11" s="257" t="s">
        <v>662</v>
      </c>
      <c r="N11" s="105" t="s">
        <v>566</v>
      </c>
      <c r="O11" s="105">
        <v>1</v>
      </c>
      <c r="P11" s="208">
        <f t="shared" si="0"/>
        <v>1</v>
      </c>
      <c r="Q11" s="208">
        <f t="shared" si="1"/>
        <v>1</v>
      </c>
      <c r="R11" s="208">
        <f t="shared" si="1"/>
        <v>1</v>
      </c>
      <c r="S11" s="53" t="s">
        <v>533</v>
      </c>
      <c r="T11" s="56"/>
    </row>
    <row r="12" spans="1:20" ht="13.5" customHeight="1" thickBot="1" x14ac:dyDescent="0.25">
      <c r="A12" s="295"/>
      <c r="B12" s="300"/>
      <c r="C12" s="300"/>
      <c r="D12" s="295"/>
      <c r="E12" s="309"/>
      <c r="F12" s="298"/>
      <c r="G12" s="300"/>
      <c r="H12" s="419"/>
      <c r="I12" s="421"/>
      <c r="J12" s="384"/>
      <c r="K12" s="377"/>
      <c r="L12" s="69" t="s">
        <v>29</v>
      </c>
      <c r="M12" s="258" t="s">
        <v>663</v>
      </c>
      <c r="N12" s="259" t="s">
        <v>337</v>
      </c>
      <c r="O12" s="259">
        <v>2</v>
      </c>
      <c r="P12" s="182">
        <f t="shared" si="0"/>
        <v>2</v>
      </c>
      <c r="Q12" s="182">
        <f t="shared" si="1"/>
        <v>2</v>
      </c>
      <c r="R12" s="182">
        <f t="shared" si="1"/>
        <v>2</v>
      </c>
      <c r="S12" s="71" t="s">
        <v>533</v>
      </c>
      <c r="T12" s="116"/>
    </row>
    <row r="13" spans="1:20" ht="13.5" customHeight="1" x14ac:dyDescent="0.2">
      <c r="A13" s="295"/>
      <c r="B13" s="300"/>
      <c r="C13" s="300"/>
      <c r="D13" s="295"/>
      <c r="E13" s="309"/>
      <c r="F13" s="298"/>
      <c r="G13" s="300"/>
      <c r="H13" s="260" t="s">
        <v>44</v>
      </c>
      <c r="I13" s="261" t="s">
        <v>664</v>
      </c>
      <c r="J13" s="143" t="s">
        <v>44</v>
      </c>
      <c r="K13" s="132" t="s">
        <v>44</v>
      </c>
      <c r="L13" s="103" t="s">
        <v>19</v>
      </c>
      <c r="M13" s="261" t="s">
        <v>664</v>
      </c>
      <c r="N13" s="261" t="s">
        <v>665</v>
      </c>
      <c r="O13" s="262">
        <v>1</v>
      </c>
      <c r="P13" s="263">
        <f t="shared" si="0"/>
        <v>1</v>
      </c>
      <c r="Q13" s="263">
        <f t="shared" si="1"/>
        <v>1</v>
      </c>
      <c r="R13" s="264">
        <f>1.5*Q13</f>
        <v>1.5</v>
      </c>
      <c r="S13" s="265" t="s">
        <v>511</v>
      </c>
      <c r="T13" s="130"/>
    </row>
    <row r="14" spans="1:20" ht="13.5" customHeight="1" x14ac:dyDescent="0.2">
      <c r="A14" s="295"/>
      <c r="B14" s="300"/>
      <c r="C14" s="300"/>
      <c r="D14" s="295"/>
      <c r="E14" s="309"/>
      <c r="F14" s="298"/>
      <c r="G14" s="300"/>
      <c r="H14" s="266" t="s">
        <v>44</v>
      </c>
      <c r="I14" s="8" t="s">
        <v>666</v>
      </c>
      <c r="J14" s="50" t="s">
        <v>44</v>
      </c>
      <c r="K14" s="42" t="s">
        <v>44</v>
      </c>
      <c r="L14" s="49" t="s">
        <v>21</v>
      </c>
      <c r="M14" s="8" t="s">
        <v>666</v>
      </c>
      <c r="N14" s="92" t="s">
        <v>667</v>
      </c>
      <c r="O14" s="92">
        <v>1</v>
      </c>
      <c r="P14" s="208">
        <f t="shared" si="0"/>
        <v>1</v>
      </c>
      <c r="Q14" s="208">
        <f t="shared" si="1"/>
        <v>1</v>
      </c>
      <c r="R14" s="256">
        <f>1.2*Q14</f>
        <v>1.2</v>
      </c>
      <c r="S14" s="53" t="s">
        <v>511</v>
      </c>
      <c r="T14" s="56"/>
    </row>
    <row r="15" spans="1:20" ht="13.5" customHeight="1" x14ac:dyDescent="0.2">
      <c r="A15" s="295"/>
      <c r="B15" s="300"/>
      <c r="C15" s="300"/>
      <c r="D15" s="295"/>
      <c r="E15" s="309"/>
      <c r="F15" s="298"/>
      <c r="G15" s="300"/>
      <c r="H15" s="266" t="s">
        <v>44</v>
      </c>
      <c r="I15" s="53" t="s">
        <v>668</v>
      </c>
      <c r="J15" s="50" t="s">
        <v>44</v>
      </c>
      <c r="K15" s="42" t="s">
        <v>44</v>
      </c>
      <c r="L15" s="49" t="s">
        <v>23</v>
      </c>
      <c r="M15" s="53" t="s">
        <v>668</v>
      </c>
      <c r="N15" s="44" t="s">
        <v>669</v>
      </c>
      <c r="O15" s="45">
        <v>1</v>
      </c>
      <c r="P15" s="208">
        <f t="shared" si="0"/>
        <v>1</v>
      </c>
      <c r="Q15" s="208">
        <f t="shared" si="1"/>
        <v>1</v>
      </c>
      <c r="R15" s="208">
        <f t="shared" si="1"/>
        <v>1</v>
      </c>
      <c r="S15" s="53" t="s">
        <v>533</v>
      </c>
      <c r="T15" s="56"/>
    </row>
    <row r="16" spans="1:20" ht="13.5" customHeight="1" thickBot="1" x14ac:dyDescent="0.25">
      <c r="A16" s="295"/>
      <c r="B16" s="300"/>
      <c r="C16" s="300"/>
      <c r="D16" s="295"/>
      <c r="E16" s="309"/>
      <c r="F16" s="298"/>
      <c r="G16" s="300"/>
      <c r="H16" s="267" t="s">
        <v>44</v>
      </c>
      <c r="I16" s="268" t="s">
        <v>670</v>
      </c>
      <c r="J16" s="140" t="s">
        <v>44</v>
      </c>
      <c r="K16" s="141" t="s">
        <v>44</v>
      </c>
      <c r="L16" s="69" t="s">
        <v>26</v>
      </c>
      <c r="M16" s="71" t="s">
        <v>670</v>
      </c>
      <c r="N16" s="269" t="s">
        <v>44</v>
      </c>
      <c r="O16" s="114">
        <v>1</v>
      </c>
      <c r="P16" s="182">
        <f t="shared" si="0"/>
        <v>1</v>
      </c>
      <c r="Q16" s="182">
        <f t="shared" si="1"/>
        <v>1</v>
      </c>
      <c r="R16" s="182">
        <f t="shared" si="1"/>
        <v>1</v>
      </c>
      <c r="S16" s="71" t="s">
        <v>533</v>
      </c>
      <c r="T16" s="116"/>
    </row>
    <row r="17" spans="1:20" ht="13.5" customHeight="1" x14ac:dyDescent="0.2">
      <c r="A17" s="295"/>
      <c r="B17" s="300"/>
      <c r="C17" s="300"/>
      <c r="D17" s="295"/>
      <c r="E17" s="309"/>
      <c r="F17" s="298"/>
      <c r="G17" s="300"/>
      <c r="H17" s="295" t="s">
        <v>265</v>
      </c>
      <c r="I17" s="294" t="s">
        <v>311</v>
      </c>
      <c r="J17" s="295" t="s">
        <v>19</v>
      </c>
      <c r="K17" s="300">
        <v>1</v>
      </c>
      <c r="L17" s="145" t="s">
        <v>19</v>
      </c>
      <c r="M17" s="250" t="s">
        <v>671</v>
      </c>
      <c r="N17" s="270" t="s">
        <v>672</v>
      </c>
      <c r="O17" s="105">
        <v>1</v>
      </c>
      <c r="P17" s="196">
        <f t="shared" si="0"/>
        <v>1</v>
      </c>
      <c r="Q17" s="196">
        <f t="shared" si="1"/>
        <v>1</v>
      </c>
      <c r="R17" s="196">
        <f t="shared" si="1"/>
        <v>1</v>
      </c>
      <c r="S17" s="74" t="s">
        <v>533</v>
      </c>
      <c r="T17" s="130"/>
    </row>
    <row r="18" spans="1:20" ht="13.5" customHeight="1" x14ac:dyDescent="0.2">
      <c r="A18" s="295"/>
      <c r="B18" s="300"/>
      <c r="C18" s="300"/>
      <c r="D18" s="295"/>
      <c r="E18" s="309"/>
      <c r="F18" s="298"/>
      <c r="G18" s="300"/>
      <c r="H18" s="295"/>
      <c r="I18" s="294"/>
      <c r="J18" s="295"/>
      <c r="K18" s="300"/>
      <c r="L18" s="49" t="s">
        <v>21</v>
      </c>
      <c r="M18" s="47" t="s">
        <v>673</v>
      </c>
      <c r="N18" s="234" t="s">
        <v>672</v>
      </c>
      <c r="O18" s="105">
        <v>2</v>
      </c>
      <c r="P18" s="208">
        <f t="shared" si="0"/>
        <v>2</v>
      </c>
      <c r="Q18" s="208">
        <f t="shared" si="1"/>
        <v>2</v>
      </c>
      <c r="R18" s="208">
        <f t="shared" si="1"/>
        <v>2</v>
      </c>
      <c r="S18" s="53" t="s">
        <v>533</v>
      </c>
      <c r="T18" s="56"/>
    </row>
    <row r="19" spans="1:20" ht="13.5" customHeight="1" x14ac:dyDescent="0.2">
      <c r="A19" s="295"/>
      <c r="B19" s="300"/>
      <c r="C19" s="300"/>
      <c r="D19" s="295"/>
      <c r="E19" s="309"/>
      <c r="F19" s="298"/>
      <c r="G19" s="300"/>
      <c r="H19" s="295"/>
      <c r="I19" s="294"/>
      <c r="J19" s="295"/>
      <c r="K19" s="300"/>
      <c r="L19" s="49" t="s">
        <v>23</v>
      </c>
      <c r="M19" s="47" t="s">
        <v>674</v>
      </c>
      <c r="N19" s="234" t="s">
        <v>672</v>
      </c>
      <c r="O19" s="105">
        <v>1</v>
      </c>
      <c r="P19" s="208">
        <f t="shared" si="0"/>
        <v>1</v>
      </c>
      <c r="Q19" s="208">
        <f t="shared" si="1"/>
        <v>1</v>
      </c>
      <c r="R19" s="208">
        <f t="shared" si="1"/>
        <v>1</v>
      </c>
      <c r="S19" s="53" t="s">
        <v>533</v>
      </c>
      <c r="T19" s="56"/>
    </row>
    <row r="20" spans="1:20" ht="13.5" customHeight="1" x14ac:dyDescent="0.2">
      <c r="A20" s="295"/>
      <c r="B20" s="300"/>
      <c r="C20" s="300"/>
      <c r="D20" s="295"/>
      <c r="E20" s="309"/>
      <c r="F20" s="298"/>
      <c r="G20" s="300"/>
      <c r="H20" s="295"/>
      <c r="I20" s="294"/>
      <c r="J20" s="295"/>
      <c r="K20" s="300"/>
      <c r="L20" s="49" t="s">
        <v>26</v>
      </c>
      <c r="M20" s="47" t="s">
        <v>675</v>
      </c>
      <c r="N20" s="234" t="s">
        <v>672</v>
      </c>
      <c r="O20" s="105">
        <v>1</v>
      </c>
      <c r="P20" s="208">
        <f t="shared" si="0"/>
        <v>1</v>
      </c>
      <c r="Q20" s="208">
        <f t="shared" si="1"/>
        <v>1</v>
      </c>
      <c r="R20" s="208">
        <f t="shared" si="1"/>
        <v>1</v>
      </c>
      <c r="S20" s="53" t="s">
        <v>533</v>
      </c>
      <c r="T20" s="56"/>
    </row>
    <row r="21" spans="1:20" ht="13.5" customHeight="1" x14ac:dyDescent="0.2">
      <c r="A21" s="295"/>
      <c r="B21" s="300"/>
      <c r="C21" s="300"/>
      <c r="D21" s="295"/>
      <c r="E21" s="309"/>
      <c r="F21" s="298"/>
      <c r="G21" s="300"/>
      <c r="H21" s="295"/>
      <c r="I21" s="294"/>
      <c r="J21" s="295"/>
      <c r="K21" s="300"/>
      <c r="L21" s="49" t="s">
        <v>29</v>
      </c>
      <c r="M21" s="47" t="s">
        <v>676</v>
      </c>
      <c r="N21" s="142" t="s">
        <v>313</v>
      </c>
      <c r="O21" s="92">
        <v>2</v>
      </c>
      <c r="P21" s="208">
        <f t="shared" si="0"/>
        <v>2</v>
      </c>
      <c r="Q21" s="208">
        <f t="shared" si="1"/>
        <v>2</v>
      </c>
      <c r="R21" s="208">
        <f t="shared" si="1"/>
        <v>2</v>
      </c>
      <c r="S21" s="53" t="s">
        <v>533</v>
      </c>
      <c r="T21" s="56"/>
    </row>
    <row r="22" spans="1:20" ht="13.5" customHeight="1" x14ac:dyDescent="0.2">
      <c r="A22" s="295"/>
      <c r="B22" s="300"/>
      <c r="C22" s="300"/>
      <c r="D22" s="295"/>
      <c r="E22" s="309"/>
      <c r="F22" s="298"/>
      <c r="G22" s="300"/>
      <c r="H22" s="295"/>
      <c r="I22" s="294"/>
      <c r="J22" s="295"/>
      <c r="K22" s="300"/>
      <c r="L22" s="103" t="s">
        <v>32</v>
      </c>
      <c r="M22" s="250" t="s">
        <v>677</v>
      </c>
      <c r="N22" s="254" t="s">
        <v>561</v>
      </c>
      <c r="O22" s="262">
        <v>1</v>
      </c>
      <c r="P22" s="263">
        <f t="shared" si="0"/>
        <v>1</v>
      </c>
      <c r="Q22" s="263">
        <f t="shared" si="1"/>
        <v>1</v>
      </c>
      <c r="R22" s="263">
        <f t="shared" si="1"/>
        <v>1</v>
      </c>
      <c r="S22" s="265" t="s">
        <v>533</v>
      </c>
      <c r="T22" s="56"/>
    </row>
    <row r="23" spans="1:20" ht="13.5" customHeight="1" x14ac:dyDescent="0.2">
      <c r="A23" s="295"/>
      <c r="B23" s="300"/>
      <c r="C23" s="300"/>
      <c r="D23" s="295"/>
      <c r="E23" s="309"/>
      <c r="F23" s="298"/>
      <c r="G23" s="300"/>
      <c r="H23" s="295"/>
      <c r="I23" s="294"/>
      <c r="J23" s="295"/>
      <c r="K23" s="300"/>
      <c r="L23" s="49" t="s">
        <v>35</v>
      </c>
      <c r="M23" s="47" t="s">
        <v>678</v>
      </c>
      <c r="N23" s="142" t="s">
        <v>439</v>
      </c>
      <c r="O23" s="92">
        <v>1</v>
      </c>
      <c r="P23" s="208">
        <f t="shared" si="0"/>
        <v>1</v>
      </c>
      <c r="Q23" s="208">
        <f t="shared" si="1"/>
        <v>1</v>
      </c>
      <c r="R23" s="208">
        <f t="shared" si="1"/>
        <v>1</v>
      </c>
      <c r="S23" s="53" t="s">
        <v>533</v>
      </c>
      <c r="T23" s="56"/>
    </row>
    <row r="24" spans="1:20" ht="13.5" customHeight="1" x14ac:dyDescent="0.2">
      <c r="A24" s="295"/>
      <c r="B24" s="300"/>
      <c r="C24" s="300"/>
      <c r="D24" s="295"/>
      <c r="E24" s="309"/>
      <c r="F24" s="298"/>
      <c r="G24" s="300"/>
      <c r="H24" s="295"/>
      <c r="I24" s="294"/>
      <c r="J24" s="295"/>
      <c r="K24" s="300"/>
      <c r="L24" s="49" t="s">
        <v>37</v>
      </c>
      <c r="M24" s="47" t="s">
        <v>679</v>
      </c>
      <c r="N24" s="142" t="s">
        <v>439</v>
      </c>
      <c r="O24" s="45">
        <v>1</v>
      </c>
      <c r="P24" s="208">
        <f t="shared" si="0"/>
        <v>1</v>
      </c>
      <c r="Q24" s="208">
        <f t="shared" si="1"/>
        <v>1</v>
      </c>
      <c r="R24" s="208">
        <f t="shared" si="1"/>
        <v>1</v>
      </c>
      <c r="S24" s="53" t="s">
        <v>533</v>
      </c>
      <c r="T24" s="56"/>
    </row>
    <row r="25" spans="1:20" ht="13.5" customHeight="1" x14ac:dyDescent="0.2">
      <c r="A25" s="295"/>
      <c r="B25" s="300"/>
      <c r="C25" s="300"/>
      <c r="D25" s="295"/>
      <c r="E25" s="309"/>
      <c r="F25" s="298"/>
      <c r="G25" s="300"/>
      <c r="H25" s="295"/>
      <c r="I25" s="294"/>
      <c r="J25" s="295"/>
      <c r="K25" s="300"/>
      <c r="L25" s="49" t="s">
        <v>40</v>
      </c>
      <c r="M25" s="234" t="s">
        <v>680</v>
      </c>
      <c r="N25" s="234" t="s">
        <v>672</v>
      </c>
      <c r="O25" s="45">
        <v>1</v>
      </c>
      <c r="P25" s="208">
        <f t="shared" si="0"/>
        <v>1</v>
      </c>
      <c r="Q25" s="208">
        <f t="shared" si="1"/>
        <v>1</v>
      </c>
      <c r="R25" s="208">
        <f t="shared" si="1"/>
        <v>1</v>
      </c>
      <c r="S25" s="53" t="s">
        <v>533</v>
      </c>
      <c r="T25" s="56"/>
    </row>
    <row r="26" spans="1:20" ht="13.5" customHeight="1" x14ac:dyDescent="0.2">
      <c r="A26" s="295"/>
      <c r="B26" s="300"/>
      <c r="C26" s="300"/>
      <c r="D26" s="295"/>
      <c r="E26" s="309"/>
      <c r="F26" s="298"/>
      <c r="G26" s="300"/>
      <c r="H26" s="295"/>
      <c r="I26" s="294"/>
      <c r="J26" s="295"/>
      <c r="K26" s="300"/>
      <c r="L26" s="49" t="s">
        <v>51</v>
      </c>
      <c r="M26" s="234" t="s">
        <v>371</v>
      </c>
      <c r="N26" s="92" t="s">
        <v>681</v>
      </c>
      <c r="O26" s="45">
        <v>2</v>
      </c>
      <c r="P26" s="208">
        <f t="shared" si="0"/>
        <v>2</v>
      </c>
      <c r="Q26" s="208">
        <f t="shared" ref="Q26:R26" si="2">P26*$C$8</f>
        <v>2</v>
      </c>
      <c r="R26" s="208">
        <f t="shared" si="2"/>
        <v>2</v>
      </c>
      <c r="S26" s="53" t="s">
        <v>533</v>
      </c>
      <c r="T26" s="56"/>
    </row>
  </sheetData>
  <mergeCells count="16">
    <mergeCell ref="F8:F26"/>
    <mergeCell ref="G8:G26"/>
    <mergeCell ref="H8:H12"/>
    <mergeCell ref="I8:I12"/>
    <mergeCell ref="J8:J12"/>
    <mergeCell ref="K8:K12"/>
    <mergeCell ref="H17:H26"/>
    <mergeCell ref="I17:I26"/>
    <mergeCell ref="J17:J26"/>
    <mergeCell ref="K17:K26"/>
    <mergeCell ref="E8:E26"/>
    <mergeCell ref="A6:C6"/>
    <mergeCell ref="A8:A26"/>
    <mergeCell ref="B8:B26"/>
    <mergeCell ref="C8:C26"/>
    <mergeCell ref="D8:D2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4:S10"/>
  <sheetViews>
    <sheetView view="pageLayout" zoomScaleNormal="100" workbookViewId="0">
      <selection activeCell="R15" sqref="R15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3.75" customHeight="1" x14ac:dyDescent="0.2"/>
    <row r="6" spans="1:19" ht="19.5" x14ac:dyDescent="0.2">
      <c r="A6" s="276" t="s">
        <v>0</v>
      </c>
      <c r="B6" s="277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1</v>
      </c>
      <c r="C8" s="9"/>
      <c r="D8" s="41" t="s">
        <v>254</v>
      </c>
      <c r="E8" s="7"/>
      <c r="F8" s="8"/>
      <c r="G8" s="39"/>
      <c r="H8" s="39"/>
      <c r="I8" s="39"/>
      <c r="J8" s="39"/>
      <c r="K8" s="25" t="s">
        <v>19</v>
      </c>
      <c r="L8" s="22" t="s">
        <v>255</v>
      </c>
      <c r="M8" s="26" t="s">
        <v>44</v>
      </c>
      <c r="N8" s="24">
        <v>2</v>
      </c>
      <c r="O8" s="24">
        <v>2</v>
      </c>
      <c r="P8" s="24">
        <v>2</v>
      </c>
      <c r="Q8" s="23">
        <v>2</v>
      </c>
      <c r="R8" s="23" t="s">
        <v>533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39"/>
      <c r="H9" s="39"/>
      <c r="I9" s="39"/>
      <c r="J9" s="39"/>
      <c r="K9" s="25" t="s">
        <v>21</v>
      </c>
      <c r="L9" s="22" t="s">
        <v>256</v>
      </c>
      <c r="M9" s="33" t="s">
        <v>44</v>
      </c>
      <c r="N9" s="24">
        <v>2</v>
      </c>
      <c r="O9" s="24">
        <v>2</v>
      </c>
      <c r="P9" s="24">
        <v>2</v>
      </c>
      <c r="Q9" s="23">
        <v>2</v>
      </c>
      <c r="R9" s="23" t="s">
        <v>533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39"/>
      <c r="H10" s="39"/>
      <c r="I10" s="39"/>
      <c r="J10" s="39"/>
      <c r="K10" s="25" t="s">
        <v>23</v>
      </c>
      <c r="L10" s="22" t="s">
        <v>257</v>
      </c>
      <c r="M10" s="33" t="s">
        <v>44</v>
      </c>
      <c r="N10" s="24">
        <v>4</v>
      </c>
      <c r="O10" s="24">
        <v>4</v>
      </c>
      <c r="P10" s="24">
        <v>4</v>
      </c>
      <c r="Q10" s="23">
        <v>4</v>
      </c>
      <c r="R10" s="23" t="s">
        <v>533</v>
      </c>
      <c r="S10" s="23" t="s">
        <v>44</v>
      </c>
    </row>
  </sheetData>
  <mergeCells count="1">
    <mergeCell ref="A6:B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S16"/>
  <sheetViews>
    <sheetView tabSelected="1" view="pageLayout" zoomScaleNormal="100" workbookViewId="0">
      <selection activeCell="I8" sqref="I8:I16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3.75" customHeight="1" x14ac:dyDescent="0.2"/>
    <row r="6" spans="1:19" ht="19.5" x14ac:dyDescent="0.2">
      <c r="A6" s="276" t="s">
        <v>0</v>
      </c>
      <c r="B6" s="277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2</v>
      </c>
      <c r="C8" s="9"/>
      <c r="D8" s="24" t="s">
        <v>253</v>
      </c>
      <c r="E8" s="7"/>
      <c r="F8" s="8"/>
      <c r="G8" s="422"/>
      <c r="H8" s="422" t="s">
        <v>253</v>
      </c>
      <c r="I8" s="422">
        <v>1</v>
      </c>
      <c r="J8" s="422">
        <v>2</v>
      </c>
      <c r="K8" s="25" t="s">
        <v>19</v>
      </c>
      <c r="L8" s="22" t="s">
        <v>239</v>
      </c>
      <c r="M8" s="26" t="s">
        <v>245</v>
      </c>
      <c r="N8" s="24">
        <v>1</v>
      </c>
      <c r="O8" s="24">
        <v>1</v>
      </c>
      <c r="P8" s="23">
        <f t="shared" ref="P8:P15" si="0">O8*2</f>
        <v>2</v>
      </c>
      <c r="Q8" s="23">
        <v>61</v>
      </c>
      <c r="R8" s="23" t="s">
        <v>511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423"/>
      <c r="H9" s="423"/>
      <c r="I9" s="423"/>
      <c r="J9" s="423"/>
      <c r="K9" s="25" t="s">
        <v>21</v>
      </c>
      <c r="L9" s="22" t="s">
        <v>240</v>
      </c>
      <c r="M9" s="33" t="s">
        <v>246</v>
      </c>
      <c r="N9" s="24">
        <v>3</v>
      </c>
      <c r="O9" s="24">
        <v>3</v>
      </c>
      <c r="P9" s="23">
        <f t="shared" si="0"/>
        <v>6</v>
      </c>
      <c r="Q9" s="23">
        <v>25</v>
      </c>
      <c r="R9" s="23" t="s">
        <v>511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423"/>
      <c r="H10" s="423"/>
      <c r="I10" s="423"/>
      <c r="J10" s="423"/>
      <c r="K10" s="25" t="s">
        <v>23</v>
      </c>
      <c r="L10" s="22" t="s">
        <v>241</v>
      </c>
      <c r="M10" s="33" t="s">
        <v>247</v>
      </c>
      <c r="N10" s="24">
        <v>4</v>
      </c>
      <c r="O10" s="24">
        <v>4</v>
      </c>
      <c r="P10" s="23">
        <f t="shared" si="0"/>
        <v>8</v>
      </c>
      <c r="Q10" s="23">
        <v>12</v>
      </c>
      <c r="R10" s="23" t="s">
        <v>511</v>
      </c>
      <c r="S10" s="23" t="s">
        <v>44</v>
      </c>
    </row>
    <row r="11" spans="1:19" ht="14.25" customHeight="1" x14ac:dyDescent="0.2">
      <c r="A11" s="4"/>
      <c r="B11" s="8"/>
      <c r="C11" s="7"/>
      <c r="D11" s="7"/>
      <c r="E11" s="7"/>
      <c r="F11" s="8"/>
      <c r="G11" s="423"/>
      <c r="H11" s="423"/>
      <c r="I11" s="423"/>
      <c r="J11" s="423"/>
      <c r="K11" s="25" t="s">
        <v>26</v>
      </c>
      <c r="L11" s="36" t="s">
        <v>242</v>
      </c>
      <c r="M11" s="33" t="s">
        <v>252</v>
      </c>
      <c r="N11" s="33">
        <v>2</v>
      </c>
      <c r="O11" s="33">
        <v>2</v>
      </c>
      <c r="P11" s="23">
        <f t="shared" si="0"/>
        <v>4</v>
      </c>
      <c r="Q11" s="23">
        <v>78</v>
      </c>
      <c r="R11" s="23" t="s">
        <v>511</v>
      </c>
      <c r="S11" s="23" t="s">
        <v>44</v>
      </c>
    </row>
    <row r="12" spans="1:19" x14ac:dyDescent="0.2">
      <c r="A12" s="4"/>
      <c r="B12" s="8"/>
      <c r="C12" s="7"/>
      <c r="D12" s="7"/>
      <c r="E12" s="7"/>
      <c r="F12" s="8"/>
      <c r="G12" s="423"/>
      <c r="H12" s="423"/>
      <c r="I12" s="423"/>
      <c r="J12" s="423"/>
      <c r="K12" s="25" t="s">
        <v>29</v>
      </c>
      <c r="L12" s="40" t="s">
        <v>243</v>
      </c>
      <c r="M12" s="33" t="s">
        <v>249</v>
      </c>
      <c r="N12" s="24">
        <v>1</v>
      </c>
      <c r="O12" s="24">
        <v>1</v>
      </c>
      <c r="P12" s="23">
        <f t="shared" si="0"/>
        <v>2</v>
      </c>
      <c r="Q12" s="23">
        <v>40</v>
      </c>
      <c r="R12" s="23" t="s">
        <v>511</v>
      </c>
      <c r="S12" s="23" t="s">
        <v>44</v>
      </c>
    </row>
    <row r="13" spans="1:19" x14ac:dyDescent="0.2">
      <c r="A13" s="4"/>
      <c r="B13" s="8"/>
      <c r="C13" s="7"/>
      <c r="D13" s="7"/>
      <c r="E13" s="7"/>
      <c r="F13" s="8"/>
      <c r="G13" s="423"/>
      <c r="H13" s="423"/>
      <c r="I13" s="423"/>
      <c r="J13" s="423"/>
      <c r="K13" s="25" t="s">
        <v>32</v>
      </c>
      <c r="L13" s="22" t="s">
        <v>151</v>
      </c>
      <c r="M13" s="33" t="s">
        <v>250</v>
      </c>
      <c r="N13" s="24">
        <v>2</v>
      </c>
      <c r="O13" s="24">
        <v>2</v>
      </c>
      <c r="P13" s="23">
        <f t="shared" si="0"/>
        <v>4</v>
      </c>
      <c r="Q13" s="23">
        <v>2.5</v>
      </c>
      <c r="R13" s="23" t="s">
        <v>511</v>
      </c>
      <c r="S13" s="23" t="s">
        <v>44</v>
      </c>
    </row>
    <row r="14" spans="1:19" x14ac:dyDescent="0.2">
      <c r="A14" s="4"/>
      <c r="B14" s="8"/>
      <c r="C14" s="7"/>
      <c r="D14" s="7"/>
      <c r="E14" s="7"/>
      <c r="F14" s="8"/>
      <c r="G14" s="423"/>
      <c r="H14" s="423"/>
      <c r="I14" s="423"/>
      <c r="J14" s="423"/>
      <c r="K14" s="25" t="s">
        <v>35</v>
      </c>
      <c r="L14" s="22" t="s">
        <v>244</v>
      </c>
      <c r="M14" s="33" t="s">
        <v>251</v>
      </c>
      <c r="N14" s="24">
        <v>4</v>
      </c>
      <c r="O14" s="24">
        <v>4</v>
      </c>
      <c r="P14" s="23">
        <f t="shared" si="0"/>
        <v>8</v>
      </c>
      <c r="Q14" s="23">
        <v>12</v>
      </c>
      <c r="R14" s="23" t="s">
        <v>511</v>
      </c>
      <c r="S14" s="23" t="s">
        <v>44</v>
      </c>
    </row>
    <row r="15" spans="1:19" x14ac:dyDescent="0.2">
      <c r="A15" s="4"/>
      <c r="B15" s="8"/>
      <c r="C15" s="7"/>
      <c r="D15" s="7"/>
      <c r="E15" s="7"/>
      <c r="F15" s="8"/>
      <c r="G15" s="423"/>
      <c r="H15" s="423"/>
      <c r="I15" s="423"/>
      <c r="J15" s="423"/>
      <c r="K15" s="25" t="s">
        <v>37</v>
      </c>
      <c r="L15" s="22" t="s">
        <v>38</v>
      </c>
      <c r="M15" s="24" t="s">
        <v>248</v>
      </c>
      <c r="N15" s="24">
        <v>27</v>
      </c>
      <c r="O15" s="24">
        <v>27</v>
      </c>
      <c r="P15" s="23">
        <f t="shared" si="0"/>
        <v>54</v>
      </c>
      <c r="Q15" s="23">
        <v>54</v>
      </c>
      <c r="R15" s="23" t="s">
        <v>533</v>
      </c>
      <c r="S15" s="23" t="s">
        <v>44</v>
      </c>
    </row>
    <row r="16" spans="1:19" x14ac:dyDescent="0.2">
      <c r="A16" s="4"/>
      <c r="B16" s="8"/>
      <c r="C16" s="7"/>
      <c r="D16" s="7"/>
      <c r="E16" s="7"/>
      <c r="F16" s="8"/>
      <c r="G16" s="424"/>
      <c r="H16" s="424"/>
      <c r="I16" s="424"/>
      <c r="J16" s="424"/>
      <c r="K16" s="25" t="s">
        <v>40</v>
      </c>
      <c r="L16" s="22" t="s">
        <v>90</v>
      </c>
      <c r="M16" s="24" t="s">
        <v>248</v>
      </c>
      <c r="N16" s="24">
        <v>27</v>
      </c>
      <c r="O16" s="24">
        <v>27</v>
      </c>
      <c r="P16" s="23">
        <f>O16*2</f>
        <v>54</v>
      </c>
      <c r="Q16" s="23">
        <v>54</v>
      </c>
      <c r="R16" s="23" t="s">
        <v>533</v>
      </c>
      <c r="S16" s="23" t="s">
        <v>44</v>
      </c>
    </row>
  </sheetData>
  <mergeCells count="5">
    <mergeCell ref="J8:J16"/>
    <mergeCell ref="I8:I16"/>
    <mergeCell ref="H8:H16"/>
    <mergeCell ref="G8:G16"/>
    <mergeCell ref="A6:B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Vacuum Cleaner 3400</vt:lpstr>
      <vt:lpstr>Dust Collector</vt:lpstr>
      <vt:lpstr>درام روتاری</vt:lpstr>
      <vt:lpstr>پایه ثابت روتاری</vt:lpstr>
      <vt:lpstr>پایه متحرک روتاری</vt:lpstr>
      <vt:lpstr>قاب روتاری</vt:lpstr>
      <vt:lpstr>سیستم محرک روتاری</vt:lpstr>
      <vt:lpstr>Insurment</vt:lpstr>
      <vt:lpstr>Fan Case</vt:lpstr>
      <vt:lpstr>Damper</vt:lpstr>
      <vt:lpstr>Coil</vt:lpstr>
      <vt:lpstr>Static Water Filter</vt:lpstr>
      <vt:lpstr>Pumping</vt:lpstr>
      <vt:lpstr>Ventilatin Door</vt:lpstr>
      <vt:lpstr>Nozzle Bank</vt:lpstr>
      <vt:lpstr>Eliminator</vt:lpstr>
      <vt:lpstr>Air Baffle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2019-02-12T10:54:17Z</dcterms:modified>
</cp:coreProperties>
</file>