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Air Rotary Filter" sheetId="40" r:id="rId1"/>
    <sheet name="ARF English" sheetId="43" r:id="rId2"/>
  </sheets>
  <calcPr calcId="152511"/>
</workbook>
</file>

<file path=xl/calcChain.xml><?xml version="1.0" encoding="utf-8"?>
<calcChain xmlns="http://schemas.openxmlformats.org/spreadsheetml/2006/main">
  <c r="O151" i="43" l="1"/>
  <c r="O148" i="43"/>
  <c r="P148" i="43" s="1"/>
  <c r="Q148" i="43" s="1"/>
  <c r="O145" i="43"/>
  <c r="P145" i="43" s="1"/>
  <c r="Q145" i="43" s="1"/>
  <c r="P137" i="43"/>
  <c r="Q137" i="43" s="1"/>
  <c r="P138" i="43"/>
  <c r="Q138" i="43"/>
  <c r="P139" i="43"/>
  <c r="Q139" i="43" s="1"/>
  <c r="R139" i="43" s="1"/>
  <c r="P140" i="43"/>
  <c r="Q140" i="43"/>
  <c r="P141" i="43"/>
  <c r="Q141" i="43" s="1"/>
  <c r="P142" i="43"/>
  <c r="Q142" i="43"/>
  <c r="P143" i="43"/>
  <c r="Q143" i="43" s="1"/>
  <c r="P144" i="43"/>
  <c r="Q144" i="43"/>
  <c r="P151" i="43"/>
  <c r="Q151" i="43" s="1"/>
  <c r="P152" i="43"/>
  <c r="Q152" i="43"/>
  <c r="R152" i="43" s="1"/>
  <c r="P153" i="43"/>
  <c r="Q153" i="43" s="1"/>
  <c r="R153" i="43" s="1"/>
  <c r="P154" i="43"/>
  <c r="Q154" i="43"/>
  <c r="R154" i="43"/>
  <c r="Q136" i="43"/>
  <c r="P136" i="43"/>
  <c r="O139" i="43"/>
  <c r="O122" i="43"/>
  <c r="P122" i="43" s="1"/>
  <c r="Q122" i="43" s="1"/>
  <c r="R122" i="43" s="1"/>
  <c r="O121" i="43"/>
  <c r="P121" i="43" s="1"/>
  <c r="Q121" i="43" s="1"/>
  <c r="R121" i="43" s="1"/>
  <c r="O119" i="43"/>
  <c r="P119" i="43" s="1"/>
  <c r="Q119" i="43" s="1"/>
  <c r="R119" i="43" s="1"/>
  <c r="J105" i="43"/>
  <c r="J115" i="43" s="1"/>
  <c r="P86" i="43"/>
  <c r="Q86" i="43" s="1"/>
  <c r="R86" i="43" s="1"/>
  <c r="P85" i="43"/>
  <c r="Q85" i="43" s="1"/>
  <c r="R85" i="43" s="1"/>
  <c r="P84" i="43"/>
  <c r="Q84" i="43" s="1"/>
  <c r="R84" i="43" s="1"/>
  <c r="P83" i="43"/>
  <c r="Q83" i="43" s="1"/>
  <c r="R83" i="43" s="1"/>
  <c r="P82" i="43"/>
  <c r="Q82" i="43" s="1"/>
  <c r="R82" i="43" s="1"/>
  <c r="P81" i="43"/>
  <c r="Q81" i="43" s="1"/>
  <c r="R81" i="43" s="1"/>
  <c r="P80" i="43"/>
  <c r="Q80" i="43" s="1"/>
  <c r="R80" i="43" s="1"/>
  <c r="P79" i="43"/>
  <c r="Q79" i="43" s="1"/>
  <c r="R79" i="43" s="1"/>
  <c r="P78" i="43"/>
  <c r="Q78" i="43" s="1"/>
  <c r="R78" i="43" s="1"/>
  <c r="P77" i="43"/>
  <c r="Q77" i="43" s="1"/>
  <c r="R77" i="43" s="1"/>
  <c r="P76" i="43"/>
  <c r="Q76" i="43" s="1"/>
  <c r="R76" i="43" s="1"/>
  <c r="P75" i="43"/>
  <c r="Q75" i="43" s="1"/>
  <c r="R75" i="43" s="1"/>
  <c r="P74" i="43"/>
  <c r="Q74" i="43" s="1"/>
  <c r="R74" i="43" s="1"/>
  <c r="G74" i="43"/>
  <c r="O123" i="43"/>
  <c r="P123" i="43" s="1"/>
  <c r="Q123" i="43" s="1"/>
  <c r="R123" i="43" s="1"/>
  <c r="N123" i="43"/>
  <c r="P120" i="43"/>
  <c r="Q120" i="43" s="1"/>
  <c r="R120" i="43" s="1"/>
  <c r="N120" i="43"/>
  <c r="N117" i="43"/>
  <c r="J117" i="43"/>
  <c r="O118" i="43" s="1"/>
  <c r="P118" i="43" s="1"/>
  <c r="Q118" i="43" s="1"/>
  <c r="R118" i="43" s="1"/>
  <c r="P114" i="43"/>
  <c r="Q114" i="43" s="1"/>
  <c r="R114" i="43" s="1"/>
  <c r="P113" i="43"/>
  <c r="Q113" i="43" s="1"/>
  <c r="R113" i="43" s="1"/>
  <c r="N113" i="43"/>
  <c r="O112" i="43"/>
  <c r="P112" i="43" s="1"/>
  <c r="Q112" i="43" s="1"/>
  <c r="R112" i="43" s="1"/>
  <c r="O111" i="43"/>
  <c r="P111" i="43" s="1"/>
  <c r="Q111" i="43" s="1"/>
  <c r="R111" i="43" s="1"/>
  <c r="P110" i="43"/>
  <c r="Q110" i="43" s="1"/>
  <c r="R110" i="43" s="1"/>
  <c r="P109" i="43"/>
  <c r="Q109" i="43" s="1"/>
  <c r="R109" i="43" s="1"/>
  <c r="G105" i="43"/>
  <c r="K113" i="43" s="1"/>
  <c r="N154" i="43"/>
  <c r="O143" i="43"/>
  <c r="O140" i="43"/>
  <c r="G136" i="43"/>
  <c r="K140" i="43" s="1"/>
  <c r="P184" i="43"/>
  <c r="Q184" i="43" s="1"/>
  <c r="R184" i="43" s="1"/>
  <c r="P183" i="43"/>
  <c r="Q183" i="43" s="1"/>
  <c r="R183" i="43" s="1"/>
  <c r="P182" i="43"/>
  <c r="Q182" i="43" s="1"/>
  <c r="R182" i="43" s="1"/>
  <c r="P181" i="43"/>
  <c r="Q181" i="43" s="1"/>
  <c r="R181" i="43" s="1"/>
  <c r="P180" i="43"/>
  <c r="Q180" i="43" s="1"/>
  <c r="R180" i="43" s="1"/>
  <c r="P179" i="43"/>
  <c r="Q179" i="43" s="1"/>
  <c r="R179" i="43" s="1"/>
  <c r="P178" i="43"/>
  <c r="Q178" i="43" s="1"/>
  <c r="R178" i="43" s="1"/>
  <c r="P177" i="43"/>
  <c r="Q177" i="43" s="1"/>
  <c r="R177" i="43" s="1"/>
  <c r="O176" i="43"/>
  <c r="P176" i="43" s="1"/>
  <c r="Q176" i="43" s="1"/>
  <c r="R176" i="43" s="1"/>
  <c r="P175" i="43"/>
  <c r="Q175" i="43" s="1"/>
  <c r="P174" i="43"/>
  <c r="Q174" i="43" s="1"/>
  <c r="P173" i="43"/>
  <c r="Q173" i="43" s="1"/>
  <c r="P172" i="43"/>
  <c r="Q172" i="43" s="1"/>
  <c r="P171" i="43"/>
  <c r="Q171" i="43" s="1"/>
  <c r="P170" i="43"/>
  <c r="Q170" i="43" s="1"/>
  <c r="P169" i="43"/>
  <c r="Q169" i="43" s="1"/>
  <c r="P168" i="43"/>
  <c r="Q168" i="43" s="1"/>
  <c r="G168" i="43"/>
  <c r="K179" i="43" s="1"/>
  <c r="R140" i="43" l="1"/>
  <c r="R151" i="43"/>
  <c r="R143" i="43"/>
  <c r="R145" i="43"/>
  <c r="R148" i="43"/>
  <c r="O136" i="43"/>
  <c r="O137" i="43" s="1"/>
  <c r="O106" i="43"/>
  <c r="P106" i="43" s="1"/>
  <c r="Q106" i="43" s="1"/>
  <c r="R106" i="43" s="1"/>
  <c r="O107" i="43"/>
  <c r="P107" i="43" s="1"/>
  <c r="Q107" i="43" s="1"/>
  <c r="R107" i="43" s="1"/>
  <c r="O108" i="43"/>
  <c r="P108" i="43" s="1"/>
  <c r="Q108" i="43" s="1"/>
  <c r="R108" i="43" s="1"/>
  <c r="O105" i="43"/>
  <c r="P105" i="43" s="1"/>
  <c r="Q105" i="43" s="1"/>
  <c r="R105" i="43" s="1"/>
  <c r="K109" i="43"/>
  <c r="O117" i="43"/>
  <c r="P117" i="43" s="1"/>
  <c r="Q117" i="43" s="1"/>
  <c r="R117" i="43" s="1"/>
  <c r="K115" i="43"/>
  <c r="O115" i="43"/>
  <c r="K117" i="43"/>
  <c r="R136" i="43"/>
  <c r="K105" i="43"/>
  <c r="O138" i="43"/>
  <c r="R138" i="43" s="1"/>
  <c r="R137" i="43"/>
  <c r="O141" i="43"/>
  <c r="O146" i="43"/>
  <c r="P146" i="43" s="1"/>
  <c r="Q146" i="43" s="1"/>
  <c r="O144" i="43"/>
  <c r="R144" i="43" s="1"/>
  <c r="O149" i="43"/>
  <c r="O150" i="43"/>
  <c r="R173" i="43"/>
  <c r="R169" i="43"/>
  <c r="R174" i="43"/>
  <c r="R170" i="43"/>
  <c r="R175" i="43"/>
  <c r="R171" i="43"/>
  <c r="R172" i="43"/>
  <c r="R168" i="43"/>
  <c r="K177" i="43"/>
  <c r="P200" i="43"/>
  <c r="Q200" i="43" s="1"/>
  <c r="R200" i="43" s="1"/>
  <c r="P201" i="43"/>
  <c r="Q201" i="43" s="1"/>
  <c r="R201" i="43" s="1"/>
  <c r="P202" i="43"/>
  <c r="Q202" i="43" s="1"/>
  <c r="R202" i="43" s="1"/>
  <c r="P203" i="43"/>
  <c r="Q203" i="43" s="1"/>
  <c r="R203" i="43" s="1"/>
  <c r="P204" i="43"/>
  <c r="Q204" i="43" s="1"/>
  <c r="R204" i="43" s="1"/>
  <c r="P205" i="43"/>
  <c r="Q205" i="43"/>
  <c r="R205" i="43" s="1"/>
  <c r="P206" i="43"/>
  <c r="Q206" i="43" s="1"/>
  <c r="R206" i="43" s="1"/>
  <c r="P207" i="43"/>
  <c r="Q207" i="43" s="1"/>
  <c r="R207" i="43" s="1"/>
  <c r="P208" i="43"/>
  <c r="Q208" i="43" s="1"/>
  <c r="R208" i="43" s="1"/>
  <c r="P209" i="43"/>
  <c r="Q209" i="43" s="1"/>
  <c r="R209" i="43" s="1"/>
  <c r="P210" i="43"/>
  <c r="Q210" i="43" s="1"/>
  <c r="R210" i="43" s="1"/>
  <c r="P211" i="43"/>
  <c r="Q211" i="43" s="1"/>
  <c r="R211" i="43" s="1"/>
  <c r="P212" i="43"/>
  <c r="Q212" i="43" s="1"/>
  <c r="R212" i="43" s="1"/>
  <c r="P213" i="43"/>
  <c r="Q213" i="43" s="1"/>
  <c r="R213" i="43" s="1"/>
  <c r="P214" i="43"/>
  <c r="Q214" i="43" s="1"/>
  <c r="R214" i="43" s="1"/>
  <c r="P215" i="43"/>
  <c r="Q215" i="43" s="1"/>
  <c r="R215" i="43" s="1"/>
  <c r="P216" i="43"/>
  <c r="Q216" i="43" s="1"/>
  <c r="R216" i="43" s="1"/>
  <c r="P199" i="43"/>
  <c r="Q199" i="43" s="1"/>
  <c r="G199" i="43"/>
  <c r="K199" i="43" s="1"/>
  <c r="R216" i="40"/>
  <c r="P203" i="40"/>
  <c r="Q203" i="40" s="1"/>
  <c r="R203" i="40" s="1"/>
  <c r="P204" i="40"/>
  <c r="Q204" i="40"/>
  <c r="R204" i="40" s="1"/>
  <c r="P205" i="40"/>
  <c r="Q205" i="40" s="1"/>
  <c r="R205" i="40" s="1"/>
  <c r="P206" i="40"/>
  <c r="Q206" i="40"/>
  <c r="R206" i="40" s="1"/>
  <c r="P207" i="40"/>
  <c r="Q207" i="40" s="1"/>
  <c r="R207" i="40" s="1"/>
  <c r="P208" i="40"/>
  <c r="Q208" i="40"/>
  <c r="R208" i="40" s="1"/>
  <c r="P209" i="40"/>
  <c r="Q209" i="40" s="1"/>
  <c r="R209" i="40" s="1"/>
  <c r="P210" i="40"/>
  <c r="Q210" i="40"/>
  <c r="R210" i="40" s="1"/>
  <c r="P211" i="40"/>
  <c r="Q211" i="40" s="1"/>
  <c r="R211" i="40" s="1"/>
  <c r="P212" i="40"/>
  <c r="Q212" i="40"/>
  <c r="R212" i="40" s="1"/>
  <c r="P213" i="40"/>
  <c r="Q213" i="40" s="1"/>
  <c r="R213" i="40" s="1"/>
  <c r="P214" i="40"/>
  <c r="Q214" i="40"/>
  <c r="R214" i="40" s="1"/>
  <c r="P215" i="40"/>
  <c r="Q215" i="40" s="1"/>
  <c r="R215" i="40" s="1"/>
  <c r="P216" i="40"/>
  <c r="Q216" i="40"/>
  <c r="P217" i="40"/>
  <c r="Q217" i="40" s="1"/>
  <c r="R217" i="40" s="1"/>
  <c r="P218" i="40"/>
  <c r="Q218" i="40"/>
  <c r="R218" i="40" s="1"/>
  <c r="P219" i="40"/>
  <c r="Q219" i="40" s="1"/>
  <c r="R219" i="40" s="1"/>
  <c r="Q202" i="40"/>
  <c r="R202" i="40" s="1"/>
  <c r="P202" i="40"/>
  <c r="G202" i="40"/>
  <c r="K211" i="40" s="1"/>
  <c r="P177" i="40"/>
  <c r="Q177" i="40"/>
  <c r="P178" i="40"/>
  <c r="Q178" i="40"/>
  <c r="R178" i="40" s="1"/>
  <c r="P179" i="40"/>
  <c r="Q179" i="40"/>
  <c r="R179" i="40" s="1"/>
  <c r="P180" i="40"/>
  <c r="Q180" i="40"/>
  <c r="R180" i="40" s="1"/>
  <c r="P181" i="40"/>
  <c r="Q181" i="40"/>
  <c r="R181" i="40" s="1"/>
  <c r="P182" i="40"/>
  <c r="Q182" i="40"/>
  <c r="R182" i="40" s="1"/>
  <c r="P183" i="40"/>
  <c r="Q183" i="40"/>
  <c r="R183" i="40" s="1"/>
  <c r="P184" i="40"/>
  <c r="Q184" i="40"/>
  <c r="R184" i="40" s="1"/>
  <c r="P185" i="40"/>
  <c r="Q185" i="40"/>
  <c r="R185" i="40" s="1"/>
  <c r="O177" i="40"/>
  <c r="G169" i="40"/>
  <c r="K180" i="40" s="1"/>
  <c r="P170" i="40"/>
  <c r="Q170" i="40" s="1"/>
  <c r="P171" i="40"/>
  <c r="Q171" i="40" s="1"/>
  <c r="P172" i="40"/>
  <c r="Q172" i="40" s="1"/>
  <c r="P173" i="40"/>
  <c r="Q173" i="40" s="1"/>
  <c r="P174" i="40"/>
  <c r="Q174" i="40" s="1"/>
  <c r="P175" i="40"/>
  <c r="Q175" i="40" s="1"/>
  <c r="P176" i="40"/>
  <c r="Q176" i="40" s="1"/>
  <c r="P169" i="40"/>
  <c r="Q169" i="40" s="1"/>
  <c r="R176" i="40" s="1"/>
  <c r="O149" i="40"/>
  <c r="O151" i="40" s="1"/>
  <c r="O141" i="40"/>
  <c r="O142" i="40" s="1"/>
  <c r="O143" i="40" s="1"/>
  <c r="P150" i="43" l="1"/>
  <c r="Q150" i="43" s="1"/>
  <c r="R150" i="43" s="1"/>
  <c r="P149" i="43"/>
  <c r="Q149" i="43" s="1"/>
  <c r="R149" i="43" s="1"/>
  <c r="O116" i="43"/>
  <c r="P116" i="43" s="1"/>
  <c r="Q116" i="43" s="1"/>
  <c r="R116" i="43" s="1"/>
  <c r="P115" i="43"/>
  <c r="Q115" i="43" s="1"/>
  <c r="R115" i="43" s="1"/>
  <c r="R146" i="43"/>
  <c r="O147" i="43"/>
  <c r="R141" i="43"/>
  <c r="O142" i="43"/>
  <c r="R142" i="43" s="1"/>
  <c r="R199" i="43"/>
  <c r="K208" i="43"/>
  <c r="K202" i="40"/>
  <c r="K178" i="40"/>
  <c r="R177" i="40"/>
  <c r="R175" i="40"/>
  <c r="R171" i="40"/>
  <c r="R172" i="40"/>
  <c r="R170" i="40"/>
  <c r="R174" i="40"/>
  <c r="R169" i="40"/>
  <c r="R173" i="40"/>
  <c r="O150" i="40"/>
  <c r="N155" i="40"/>
  <c r="P141" i="40"/>
  <c r="Q141" i="40" s="1"/>
  <c r="R141" i="40" s="1"/>
  <c r="P142" i="40"/>
  <c r="Q142" i="40" s="1"/>
  <c r="R142" i="40" s="1"/>
  <c r="P143" i="40"/>
  <c r="Q143" i="40" s="1"/>
  <c r="R143" i="40" s="1"/>
  <c r="P149" i="40"/>
  <c r="Q149" i="40" s="1"/>
  <c r="R149" i="40" s="1"/>
  <c r="P150" i="40"/>
  <c r="Q150" i="40" s="1"/>
  <c r="R150" i="40" s="1"/>
  <c r="P151" i="40"/>
  <c r="Q151" i="40" s="1"/>
  <c r="R151" i="40" s="1"/>
  <c r="P153" i="40"/>
  <c r="Q153" i="40" s="1"/>
  <c r="R153" i="40" s="1"/>
  <c r="P154" i="40"/>
  <c r="Q154" i="40" s="1"/>
  <c r="R154" i="40" s="1"/>
  <c r="P155" i="40"/>
  <c r="Q155" i="40" s="1"/>
  <c r="R155" i="40" s="1"/>
  <c r="J117" i="40"/>
  <c r="O118" i="40" s="1"/>
  <c r="P118" i="40" s="1"/>
  <c r="Q118" i="40" s="1"/>
  <c r="R118" i="40" s="1"/>
  <c r="G137" i="40"/>
  <c r="K141" i="40" s="1"/>
  <c r="N123" i="40"/>
  <c r="O123" i="40"/>
  <c r="P123" i="40" s="1"/>
  <c r="Q123" i="40" s="1"/>
  <c r="R123" i="40" s="1"/>
  <c r="O122" i="40"/>
  <c r="P122" i="40" s="1"/>
  <c r="Q122" i="40" s="1"/>
  <c r="R122" i="40" s="1"/>
  <c r="O121" i="40"/>
  <c r="O119" i="40"/>
  <c r="P119" i="40" s="1"/>
  <c r="Q119" i="40" s="1"/>
  <c r="R119" i="40" s="1"/>
  <c r="O111" i="40"/>
  <c r="P111" i="40" s="1"/>
  <c r="Q111" i="40" s="1"/>
  <c r="R111" i="40" s="1"/>
  <c r="N120" i="40"/>
  <c r="N113" i="40"/>
  <c r="O112" i="40"/>
  <c r="P112" i="40" s="1"/>
  <c r="Q112" i="40" s="1"/>
  <c r="R112" i="40" s="1"/>
  <c r="N117" i="40"/>
  <c r="P109" i="40"/>
  <c r="Q109" i="40" s="1"/>
  <c r="R109" i="40" s="1"/>
  <c r="P110" i="40"/>
  <c r="Q110" i="40" s="1"/>
  <c r="R110" i="40" s="1"/>
  <c r="P113" i="40"/>
  <c r="Q113" i="40" s="1"/>
  <c r="R113" i="40" s="1"/>
  <c r="P114" i="40"/>
  <c r="Q114" i="40" s="1"/>
  <c r="R114" i="40" s="1"/>
  <c r="P120" i="40"/>
  <c r="Q120" i="40" s="1"/>
  <c r="R120" i="40" s="1"/>
  <c r="J105" i="40"/>
  <c r="G105" i="40"/>
  <c r="K109" i="40" s="1"/>
  <c r="P82" i="40"/>
  <c r="Q82" i="40" s="1"/>
  <c r="R82" i="40" s="1"/>
  <c r="P81" i="40"/>
  <c r="Q81" i="40" s="1"/>
  <c r="R81" i="40" s="1"/>
  <c r="G74" i="40"/>
  <c r="P75" i="40"/>
  <c r="Q75" i="40" s="1"/>
  <c r="R75" i="40" s="1"/>
  <c r="P76" i="40"/>
  <c r="Q76" i="40" s="1"/>
  <c r="R76" i="40" s="1"/>
  <c r="P77" i="40"/>
  <c r="Q77" i="40" s="1"/>
  <c r="R77" i="40" s="1"/>
  <c r="P78" i="40"/>
  <c r="Q78" i="40" s="1"/>
  <c r="R78" i="40" s="1"/>
  <c r="P79" i="40"/>
  <c r="Q79" i="40" s="1"/>
  <c r="R79" i="40" s="1"/>
  <c r="P80" i="40"/>
  <c r="Q80" i="40" s="1"/>
  <c r="R80" i="40" s="1"/>
  <c r="P83" i="40"/>
  <c r="Q83" i="40" s="1"/>
  <c r="R83" i="40" s="1"/>
  <c r="P84" i="40"/>
  <c r="Q84" i="40" s="1"/>
  <c r="R84" i="40" s="1"/>
  <c r="P85" i="40"/>
  <c r="Q85" i="40" s="1"/>
  <c r="R85" i="40" s="1"/>
  <c r="P86" i="40"/>
  <c r="Q86" i="40" s="1"/>
  <c r="R86" i="40" s="1"/>
  <c r="P74" i="40"/>
  <c r="Q74" i="40" s="1"/>
  <c r="R74" i="40" s="1"/>
  <c r="P147" i="43" l="1"/>
  <c r="Q147" i="43" s="1"/>
  <c r="R147" i="43" s="1"/>
  <c r="O152" i="40"/>
  <c r="P152" i="40" s="1"/>
  <c r="Q152" i="40" s="1"/>
  <c r="R152" i="40" s="1"/>
  <c r="J115" i="40"/>
  <c r="O115" i="40" s="1"/>
  <c r="O108" i="40"/>
  <c r="P108" i="40" s="1"/>
  <c r="Q108" i="40" s="1"/>
  <c r="R108" i="40" s="1"/>
  <c r="O140" i="40"/>
  <c r="P140" i="40" s="1"/>
  <c r="Q140" i="40" s="1"/>
  <c r="R140" i="40" s="1"/>
  <c r="O146" i="40"/>
  <c r="P121" i="40"/>
  <c r="Q121" i="40" s="1"/>
  <c r="R121" i="40" s="1"/>
  <c r="O144" i="40"/>
  <c r="O137" i="40"/>
  <c r="K117" i="40"/>
  <c r="K113" i="40"/>
  <c r="O117" i="40"/>
  <c r="P117" i="40" s="1"/>
  <c r="Q117" i="40" s="1"/>
  <c r="R117" i="40" s="1"/>
  <c r="O105" i="40"/>
  <c r="P105" i="40" s="1"/>
  <c r="Q105" i="40" s="1"/>
  <c r="R105" i="40" s="1"/>
  <c r="O107" i="40"/>
  <c r="P107" i="40" s="1"/>
  <c r="Q107" i="40" s="1"/>
  <c r="R107" i="40" s="1"/>
  <c r="O106" i="40"/>
  <c r="K105" i="40"/>
  <c r="P59" i="43"/>
  <c r="Q59" i="43" s="1"/>
  <c r="R59" i="43" s="1"/>
  <c r="P58" i="43"/>
  <c r="Q58" i="43" s="1"/>
  <c r="R58" i="43" s="1"/>
  <c r="P57" i="43"/>
  <c r="Q57" i="43" s="1"/>
  <c r="R57" i="43" s="1"/>
  <c r="P56" i="43"/>
  <c r="Q56" i="43" s="1"/>
  <c r="R56" i="43" s="1"/>
  <c r="P55" i="43"/>
  <c r="Q55" i="43" s="1"/>
  <c r="R55" i="43" s="1"/>
  <c r="P54" i="43"/>
  <c r="Q54" i="43" s="1"/>
  <c r="R54" i="43" s="1"/>
  <c r="N54" i="43"/>
  <c r="P53" i="43"/>
  <c r="Q53" i="43" s="1"/>
  <c r="R53" i="43" s="1"/>
  <c r="N53" i="43"/>
  <c r="P52" i="43"/>
  <c r="Q52" i="43" s="1"/>
  <c r="R52" i="43" s="1"/>
  <c r="P51" i="43"/>
  <c r="Q51" i="43" s="1"/>
  <c r="R51" i="43" s="1"/>
  <c r="P50" i="43"/>
  <c r="Q50" i="43" s="1"/>
  <c r="R50" i="43" s="1"/>
  <c r="P49" i="43"/>
  <c r="Q49" i="43" s="1"/>
  <c r="R49" i="43" s="1"/>
  <c r="N49" i="43"/>
  <c r="P48" i="43"/>
  <c r="Q48" i="43" s="1"/>
  <c r="R48" i="43" s="1"/>
  <c r="N48" i="43"/>
  <c r="P47" i="43"/>
  <c r="Q47" i="43" s="1"/>
  <c r="R47" i="43" s="1"/>
  <c r="N47" i="43"/>
  <c r="P46" i="43"/>
  <c r="Q46" i="43" s="1"/>
  <c r="R46" i="43" s="1"/>
  <c r="P45" i="43"/>
  <c r="Q45" i="43" s="1"/>
  <c r="R45" i="43" s="1"/>
  <c r="P44" i="43"/>
  <c r="Q44" i="43" s="1"/>
  <c r="R44" i="43" s="1"/>
  <c r="N50" i="40"/>
  <c r="K115" i="40" l="1"/>
  <c r="O116" i="40"/>
  <c r="P116" i="40" s="1"/>
  <c r="Q116" i="40" s="1"/>
  <c r="R116" i="40" s="1"/>
  <c r="P115" i="40"/>
  <c r="Q115" i="40" s="1"/>
  <c r="R115" i="40" s="1"/>
  <c r="O147" i="40"/>
  <c r="P146" i="40"/>
  <c r="Q146" i="40" s="1"/>
  <c r="R146" i="40" s="1"/>
  <c r="O145" i="40"/>
  <c r="P145" i="40" s="1"/>
  <c r="Q145" i="40" s="1"/>
  <c r="R145" i="40" s="1"/>
  <c r="P144" i="40"/>
  <c r="Q144" i="40" s="1"/>
  <c r="R144" i="40" s="1"/>
  <c r="O138" i="40"/>
  <c r="P137" i="40"/>
  <c r="Q137" i="40" s="1"/>
  <c r="R137" i="40" s="1"/>
  <c r="P106" i="40"/>
  <c r="Q106" i="40" s="1"/>
  <c r="R106" i="40" s="1"/>
  <c r="P59" i="40"/>
  <c r="Q59" i="40" s="1"/>
  <c r="R59" i="40" s="1"/>
  <c r="P46" i="40"/>
  <c r="Q46" i="40" s="1"/>
  <c r="R46" i="40" s="1"/>
  <c r="P47" i="40"/>
  <c r="Q47" i="40" s="1"/>
  <c r="R47" i="40" s="1"/>
  <c r="P48" i="40"/>
  <c r="Q48" i="40" s="1"/>
  <c r="P49" i="40"/>
  <c r="Q49" i="40" s="1"/>
  <c r="P50" i="40"/>
  <c r="Q50" i="40" s="1"/>
  <c r="R50" i="40" s="1"/>
  <c r="P51" i="40"/>
  <c r="Q51" i="40" s="1"/>
  <c r="R51" i="40" s="1"/>
  <c r="P52" i="40"/>
  <c r="Q52" i="40" s="1"/>
  <c r="R52" i="40" s="1"/>
  <c r="P53" i="40"/>
  <c r="Q53" i="40" s="1"/>
  <c r="R53" i="40" s="1"/>
  <c r="P54" i="40"/>
  <c r="Q54" i="40" s="1"/>
  <c r="R54" i="40" s="1"/>
  <c r="P55" i="40"/>
  <c r="Q55" i="40" s="1"/>
  <c r="R55" i="40" s="1"/>
  <c r="P56" i="40"/>
  <c r="Q56" i="40" s="1"/>
  <c r="R56" i="40" s="1"/>
  <c r="P57" i="40"/>
  <c r="Q57" i="40" s="1"/>
  <c r="R57" i="40" s="1"/>
  <c r="P58" i="40"/>
  <c r="Q58" i="40" s="1"/>
  <c r="R58" i="40" s="1"/>
  <c r="P60" i="40"/>
  <c r="Q60" i="40" s="1"/>
  <c r="R60" i="40" s="1"/>
  <c r="P45" i="40"/>
  <c r="Q45" i="40" s="1"/>
  <c r="R45" i="40" s="1"/>
  <c r="N55" i="40"/>
  <c r="N54" i="40"/>
  <c r="G44" i="43"/>
  <c r="K44" i="43" s="1"/>
  <c r="P18" i="43"/>
  <c r="Q18" i="43" s="1"/>
  <c r="R18" i="43" s="1"/>
  <c r="P17" i="43"/>
  <c r="Q17" i="43" s="1"/>
  <c r="R17" i="43" s="1"/>
  <c r="P16" i="43"/>
  <c r="Q16" i="43" s="1"/>
  <c r="R16" i="43" s="1"/>
  <c r="P15" i="43"/>
  <c r="Q15" i="43" s="1"/>
  <c r="R15" i="43" s="1"/>
  <c r="P14" i="43"/>
  <c r="Q14" i="43" s="1"/>
  <c r="R14" i="43" s="1"/>
  <c r="P13" i="43"/>
  <c r="Q13" i="43" s="1"/>
  <c r="R13" i="43" s="1"/>
  <c r="P12" i="43"/>
  <c r="Q12" i="43" s="1"/>
  <c r="R12" i="43" s="1"/>
  <c r="P11" i="43"/>
  <c r="Q11" i="43" s="1"/>
  <c r="R11" i="43" s="1"/>
  <c r="P10" i="43"/>
  <c r="Q10" i="43" s="1"/>
  <c r="R10" i="43" s="1"/>
  <c r="N10" i="43"/>
  <c r="P9" i="43"/>
  <c r="Q9" i="43" s="1"/>
  <c r="R9" i="43" s="1"/>
  <c r="P8" i="43"/>
  <c r="Q8" i="43" s="1"/>
  <c r="R8" i="43" s="1"/>
  <c r="G8" i="43"/>
  <c r="O148" i="40" l="1"/>
  <c r="P148" i="40" s="1"/>
  <c r="Q148" i="40" s="1"/>
  <c r="R148" i="40" s="1"/>
  <c r="P147" i="40"/>
  <c r="Q147" i="40" s="1"/>
  <c r="R147" i="40" s="1"/>
  <c r="P138" i="40"/>
  <c r="Q138" i="40" s="1"/>
  <c r="R138" i="40" s="1"/>
  <c r="O139" i="40"/>
  <c r="P139" i="40" s="1"/>
  <c r="Q139" i="40" s="1"/>
  <c r="R139" i="40" s="1"/>
  <c r="R49" i="40"/>
  <c r="R48" i="40"/>
  <c r="N49" i="40"/>
  <c r="N48" i="40"/>
  <c r="G45" i="40" l="1"/>
  <c r="K45" i="40" s="1"/>
  <c r="N10" i="40" l="1"/>
  <c r="G8" i="40" l="1"/>
  <c r="P9" i="40"/>
  <c r="Q9" i="40" s="1"/>
  <c r="R9" i="40" s="1"/>
  <c r="P10" i="40"/>
  <c r="Q10" i="40" s="1"/>
  <c r="R10" i="40" s="1"/>
  <c r="P11" i="40"/>
  <c r="Q11" i="40" s="1"/>
  <c r="R11" i="40" s="1"/>
  <c r="P12" i="40"/>
  <c r="Q12" i="40" s="1"/>
  <c r="R12" i="40" s="1"/>
  <c r="P13" i="40"/>
  <c r="Q13" i="40" s="1"/>
  <c r="R13" i="40" s="1"/>
  <c r="P14" i="40"/>
  <c r="Q14" i="40" s="1"/>
  <c r="R14" i="40" s="1"/>
  <c r="P15" i="40"/>
  <c r="Q15" i="40" s="1"/>
  <c r="R15" i="40" s="1"/>
  <c r="P16" i="40"/>
  <c r="Q16" i="40" s="1"/>
  <c r="R16" i="40" s="1"/>
  <c r="P17" i="40"/>
  <c r="Q17" i="40" s="1"/>
  <c r="R17" i="40" s="1"/>
  <c r="P18" i="40"/>
  <c r="Q18" i="40" s="1"/>
  <c r="R18" i="40" s="1"/>
  <c r="P8" i="40"/>
  <c r="Q8" i="40" s="1"/>
  <c r="R8" i="40" s="1"/>
</calcChain>
</file>

<file path=xl/sharedStrings.xml><?xml version="1.0" encoding="utf-8"?>
<sst xmlns="http://schemas.openxmlformats.org/spreadsheetml/2006/main" count="1462" uniqueCount="352">
  <si>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</si>
  <si>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</si>
  <si>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</si>
  <si>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</si>
  <si>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</si>
  <si>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</si>
  <si>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</si>
  <si>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</si>
  <si>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</si>
  <si>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</si>
  <si>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</si>
  <si>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</si>
  <si>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</si>
  <si>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</si>
  <si>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</si>
  <si>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</si>
  <si>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</si>
  <si>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</si>
  <si>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</si>
  <si>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</si>
  <si>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</si>
  <si>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</si>
  <si>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</si>
  <si>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</si>
  <si>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</si>
  <si>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</si>
  <si>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</si>
  <si>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</si>
  <si>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</si>
  <si>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</si>
  <si>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</si>
  <si>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</si>
  <si>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17</t>
  </si>
  <si>
    <t>رولپلاگ</t>
  </si>
  <si>
    <t>-</t>
  </si>
  <si>
    <t>18</t>
  </si>
  <si>
    <t>19</t>
  </si>
  <si>
    <t>ناودانی تقویتی</t>
  </si>
  <si>
    <t>A8</t>
  </si>
  <si>
    <t>20</t>
  </si>
  <si>
    <t>21</t>
  </si>
  <si>
    <t>2.6x30</t>
  </si>
  <si>
    <t>پیچ</t>
  </si>
  <si>
    <t xml:space="preserve">مهره  </t>
  </si>
  <si>
    <t>پیچ رولپلاگ</t>
  </si>
  <si>
    <t>M8x80</t>
  </si>
  <si>
    <t>8x80</t>
  </si>
  <si>
    <t>22</t>
  </si>
  <si>
    <t>M16</t>
  </si>
  <si>
    <t>M8x30</t>
  </si>
  <si>
    <t>M10x30</t>
  </si>
  <si>
    <t>بسته پیچ و اتصالات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</si>
  <si>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</si>
  <si>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</si>
  <si>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</si>
  <si>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</si>
  <si>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</si>
  <si>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</si>
  <si>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</si>
  <si>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</si>
  <si>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</si>
  <si>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</si>
  <si>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</si>
  <si>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</si>
  <si>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</si>
  <si>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</si>
  <si>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</si>
  <si>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</si>
  <si>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</si>
  <si>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</si>
  <si>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</si>
  <si>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</si>
  <si>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</si>
  <si>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</si>
  <si>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</si>
  <si>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</si>
  <si>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</si>
  <si>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</si>
  <si>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</si>
  <si>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</si>
  <si>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نگهدارنده صفحه موتور</t>
  </si>
  <si>
    <t>میل پیچ</t>
  </si>
  <si>
    <r>
      <rPr>
        <sz val="9"/>
        <color theme="1"/>
        <rFont val="Calibri"/>
        <family val="2"/>
      </rPr>
      <t>Ø</t>
    </r>
    <r>
      <rPr>
        <sz val="10.35"/>
        <color theme="1"/>
        <rFont val="B Nazanin"/>
        <charset val="178"/>
      </rPr>
      <t xml:space="preserve">=15 , </t>
    </r>
    <r>
      <rPr>
        <sz val="9"/>
        <color theme="1"/>
        <rFont val="B Nazanin"/>
        <charset val="178"/>
      </rPr>
      <t>L=303</t>
    </r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</si>
  <si>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</si>
  <si>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</si>
  <si>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</si>
  <si>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</si>
  <si>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</si>
  <si>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B Nazanin"/>
        <charset val="178"/>
      </rPr>
      <t xml:space="preserve">=22 , </t>
    </r>
    <r>
      <rPr>
        <sz val="9"/>
        <color theme="1"/>
        <rFont val="B Nazanin"/>
        <charset val="178"/>
      </rPr>
      <t>L=70</t>
    </r>
  </si>
  <si>
    <t>پولی تسمه سفت کن</t>
  </si>
  <si>
    <r>
      <rPr>
        <sz val="9"/>
        <color theme="1"/>
        <rFont val="Calibri"/>
        <family val="2"/>
      </rPr>
      <t>Ø</t>
    </r>
    <r>
      <rPr>
        <sz val="9"/>
        <color theme="1"/>
        <rFont val="B Nazanin"/>
        <charset val="178"/>
      </rPr>
      <t>=65 , L=70</t>
    </r>
  </si>
  <si>
    <t>بیرینگ</t>
  </si>
  <si>
    <t xml:space="preserve">6201z </t>
  </si>
  <si>
    <t>پیچ پولی تسمه سفت کن</t>
  </si>
  <si>
    <t>M10x100</t>
  </si>
  <si>
    <t>مهره پولی تسمه سفت کن</t>
  </si>
  <si>
    <t xml:space="preserve">M10 </t>
  </si>
  <si>
    <t>واشر پولی تسمه سفت کن</t>
  </si>
  <si>
    <t>A10</t>
  </si>
  <si>
    <t>پولی چدنی</t>
  </si>
  <si>
    <t>چدن ریخته گری</t>
  </si>
  <si>
    <t>شفت رابط پولی چدنی</t>
  </si>
  <si>
    <r>
      <rPr>
        <sz val="9"/>
        <color theme="1"/>
        <rFont val="Calibri"/>
        <family val="2"/>
      </rPr>
      <t>Ø</t>
    </r>
    <r>
      <rPr>
        <sz val="9"/>
        <color theme="1"/>
        <rFont val="B Nazanin"/>
        <charset val="178"/>
      </rPr>
      <t>=35 , L=160</t>
    </r>
  </si>
  <si>
    <t>الکتروگیربکس روتاری</t>
  </si>
  <si>
    <t>0.37 کیلووات</t>
  </si>
  <si>
    <t>پیچ  یاتاقان</t>
  </si>
  <si>
    <t>مهره یاتاقان</t>
  </si>
  <si>
    <t>واشر تخت یاتاقان</t>
  </si>
  <si>
    <t>واشر فنری یاتاقان</t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</si>
  <si>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</si>
  <si>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</si>
  <si>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</si>
  <si>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</si>
  <si>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</si>
  <si>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</si>
  <si>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</si>
  <si>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</si>
  <si>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</si>
  <si>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</si>
  <si>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</si>
  <si>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</si>
  <si>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</si>
  <si>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M8x20</t>
  </si>
  <si>
    <t>مهره اتصال صفحه الکتر گیربکس</t>
  </si>
  <si>
    <t xml:space="preserve">M8 </t>
  </si>
  <si>
    <t>واشر تخت  صفحه الکترو گیربکس</t>
  </si>
  <si>
    <t>واشر فنری صفحه الکترو گیربکس</t>
  </si>
  <si>
    <t>مهره سر میل پیچ</t>
  </si>
  <si>
    <t>اشپیل مهره میل پیچ</t>
  </si>
  <si>
    <t>واشر استپ سر الکترو گیربکس</t>
  </si>
  <si>
    <t>بدنه روتاری هوا</t>
  </si>
  <si>
    <t>توری پانچی</t>
  </si>
  <si>
    <t>1.5x840x1570</t>
  </si>
  <si>
    <t>ناودانی بدنه</t>
  </si>
  <si>
    <t>نبشی بدنه</t>
  </si>
  <si>
    <t>4x73x1570</t>
  </si>
  <si>
    <t>ناودانی انتهایی بازو</t>
  </si>
  <si>
    <t>ورق اتصال مثلثی</t>
  </si>
  <si>
    <t>8x155x270</t>
  </si>
  <si>
    <t>صفحه و شفت روتاری</t>
  </si>
  <si>
    <t xml:space="preserve"> شفت سمت ثابت</t>
  </si>
  <si>
    <r>
      <t>Ø</t>
    </r>
    <r>
      <rPr>
        <sz val="10.35"/>
        <color theme="1"/>
        <rFont val="B Nazanin"/>
        <charset val="178"/>
      </rPr>
      <t xml:space="preserve">=60 , </t>
    </r>
    <r>
      <rPr>
        <sz val="9"/>
        <color theme="1"/>
        <rFont val="B Nazanin"/>
        <charset val="178"/>
      </rPr>
      <t>L=260</t>
    </r>
  </si>
  <si>
    <t xml:space="preserve"> شفت سمت متحرک</t>
  </si>
  <si>
    <r>
      <t>Ø</t>
    </r>
    <r>
      <rPr>
        <sz val="10.35"/>
        <color theme="1"/>
        <rFont val="B Nazanin"/>
        <charset val="178"/>
      </rPr>
      <t xml:space="preserve">=60 , </t>
    </r>
    <r>
      <rPr>
        <sz val="9"/>
        <color theme="1"/>
        <rFont val="B Nazanin"/>
        <charset val="178"/>
      </rPr>
      <t>L=300</t>
    </r>
  </si>
  <si>
    <t>صفحه شفت</t>
  </si>
  <si>
    <t>10x350x350</t>
  </si>
  <si>
    <t xml:space="preserve">صفحه تقویتی </t>
  </si>
  <si>
    <t>10x70x120</t>
  </si>
  <si>
    <t>سینی انتهایی</t>
  </si>
  <si>
    <t>پولی فلزی انتهای روتاری</t>
  </si>
  <si>
    <t>نگهدارنده ناودانی تسمه</t>
  </si>
  <si>
    <t>4x40x80</t>
  </si>
  <si>
    <t>تسمه نوار خاردار</t>
  </si>
  <si>
    <t>L=1700</t>
  </si>
  <si>
    <t>صفحه زیر نوار خاردار</t>
  </si>
  <si>
    <t>2x30x1700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</si>
  <si>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</si>
  <si>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</si>
  <si>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</si>
  <si>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</si>
  <si>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</si>
  <si>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M1.4x10</t>
  </si>
  <si>
    <t xml:space="preserve"> مهره تسمه نوار عرضی</t>
  </si>
  <si>
    <t>فیلتر اسفنجی</t>
  </si>
  <si>
    <t>ppi45</t>
  </si>
  <si>
    <t>لوله تقویتی ناودانی بازو</t>
  </si>
  <si>
    <r>
      <t>Ø</t>
    </r>
    <r>
      <rPr>
        <sz val="10.35"/>
        <color theme="1"/>
        <rFont val="B Nazanin"/>
        <charset val="178"/>
      </rPr>
      <t xml:space="preserve">=22 , </t>
    </r>
    <r>
      <rPr>
        <sz val="9"/>
        <color theme="1"/>
        <rFont val="B Nazanin"/>
        <charset val="178"/>
      </rPr>
      <t>L=88</t>
    </r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</si>
  <si>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</si>
  <si>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</si>
  <si>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</si>
  <si>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</si>
  <si>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</si>
  <si>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</si>
  <si>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</si>
  <si>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مهره اتصال صفحه مثلثی</t>
  </si>
  <si>
    <t>پیچ اتصال کپه ها</t>
  </si>
  <si>
    <t>مهره اتصال کپه ها</t>
  </si>
  <si>
    <t>واشر فنری اتصال کپه ها</t>
  </si>
  <si>
    <t>پیچ اتصال تکه ها</t>
  </si>
  <si>
    <t>مهره اتصال تکه ها</t>
  </si>
  <si>
    <t>واشر  اتصال تکه ها</t>
  </si>
  <si>
    <t xml:space="preserve">A10 </t>
  </si>
  <si>
    <t>پیچ ورشو نوار خاردار</t>
  </si>
  <si>
    <t>پیچ اتصال سینی به ناودانی بازو</t>
  </si>
  <si>
    <t>مهره اتصال سینی به ناودانی بازو</t>
  </si>
  <si>
    <t>لاستیک هوابند</t>
  </si>
  <si>
    <t>سینی شماره 1</t>
  </si>
  <si>
    <t>سینی شماره 2</t>
  </si>
  <si>
    <t>سینی شماره 3</t>
  </si>
  <si>
    <t>سینی شماره 4</t>
  </si>
  <si>
    <t>2x1000x1000</t>
  </si>
  <si>
    <t>سینی شماره 5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</si>
  <si>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</si>
  <si>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</si>
  <si>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</si>
  <si>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</si>
  <si>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</si>
  <si>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</si>
  <si>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</si>
  <si>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ورق اتصال سر نبشی</t>
  </si>
  <si>
    <t>4x40x40</t>
  </si>
  <si>
    <t>ناودانی تقویتی سینی</t>
  </si>
  <si>
    <t>پیچ ورشو اتصال نبشی تقویتی به سینی</t>
  </si>
  <si>
    <t>مهره چهارگوش اتصال نبشی به سینی</t>
  </si>
  <si>
    <t>M1.4</t>
  </si>
  <si>
    <t>01</t>
  </si>
  <si>
    <t>02</t>
  </si>
  <si>
    <t>03</t>
  </si>
  <si>
    <t>04</t>
  </si>
  <si>
    <t>05</t>
  </si>
  <si>
    <t>صفحه اتصال نبشی تقویتی</t>
  </si>
  <si>
    <t>نوع محصول</t>
  </si>
  <si>
    <t>مقدار خالص</t>
  </si>
  <si>
    <t>واحد</t>
  </si>
  <si>
    <t>Kg</t>
  </si>
  <si>
    <t>Pcs</t>
  </si>
  <si>
    <t>8x155x155</t>
  </si>
  <si>
    <t>Bearing Base Plate</t>
  </si>
  <si>
    <t>Driven Stand</t>
  </si>
  <si>
    <t>Stand Base Plate</t>
  </si>
  <si>
    <t>Stand Post</t>
  </si>
  <si>
    <t>Stand Stiffener</t>
  </si>
  <si>
    <t>Bearing</t>
  </si>
  <si>
    <t>Driver Stand</t>
  </si>
  <si>
    <t>Stand Support</t>
  </si>
  <si>
    <t>Stand Brace</t>
  </si>
  <si>
    <t>PAD Base</t>
  </si>
  <si>
    <t>Motor Base Beam</t>
  </si>
  <si>
    <t>Motor Base Plate</t>
  </si>
  <si>
    <t>Driver Pulley Shaft</t>
  </si>
  <si>
    <t>Geared Motor</t>
  </si>
  <si>
    <t>Idle Pulley</t>
  </si>
  <si>
    <t>Pulley Adjustment Device</t>
  </si>
  <si>
    <t>Idle Pulley Bolt</t>
  </si>
  <si>
    <t>Idle Pulley Nut</t>
  </si>
  <si>
    <t>Support Gasset</t>
  </si>
  <si>
    <t>Support End Plate</t>
  </si>
  <si>
    <t>Support Bolt</t>
  </si>
  <si>
    <t>Support Nut</t>
  </si>
  <si>
    <t>PAD Bearing</t>
  </si>
  <si>
    <t>Bearing Bolt</t>
  </si>
  <si>
    <t>Bearing Nut</t>
  </si>
  <si>
    <t>ARF Belt</t>
  </si>
  <si>
    <t>PAD Threaded Bar</t>
  </si>
  <si>
    <t>PAD End Plate</t>
  </si>
  <si>
    <t>Idle Pulley Connector</t>
  </si>
  <si>
    <t>Geared Motor Bolt</t>
  </si>
  <si>
    <t>Geared Motor Nut</t>
  </si>
  <si>
    <t>Geared Motor S Washer</t>
  </si>
  <si>
    <t>GM BP Bolt</t>
  </si>
  <si>
    <t>GM BP Nut</t>
  </si>
  <si>
    <t>Brace Stiffener Pipe</t>
  </si>
  <si>
    <t>Threaded Bar Nut</t>
  </si>
  <si>
    <t>Filter Casing</t>
  </si>
  <si>
    <t>Drum Frame Ring</t>
  </si>
  <si>
    <t>Drum Arm</t>
  </si>
  <si>
    <t>Filter Casing Holder</t>
  </si>
  <si>
    <t>Driver Shaft</t>
  </si>
  <si>
    <t>Driven Shaft</t>
  </si>
  <si>
    <t>Shaft Flange</t>
  </si>
  <si>
    <t>Drum Cover Plate</t>
  </si>
  <si>
    <t>Belt Channel</t>
  </si>
  <si>
    <t>Belt Channel Connector</t>
  </si>
  <si>
    <t>Filter Hook</t>
  </si>
  <si>
    <t>Filter Holder</t>
  </si>
  <si>
    <t>Filter Holder Clamp</t>
  </si>
  <si>
    <t>Filter Holder Bolt</t>
  </si>
  <si>
    <t>Filter Holder Nut</t>
  </si>
  <si>
    <t>Shaft Flange Bolt</t>
  </si>
  <si>
    <t>Shaft Flange Nut</t>
  </si>
  <si>
    <t>Arm Stiffener</t>
  </si>
  <si>
    <t>Drum Sector Bolt</t>
  </si>
  <si>
    <t>Drum Sector Nut</t>
  </si>
  <si>
    <t>Filter Section Bolt</t>
  </si>
  <si>
    <t>Filter Section Nut</t>
  </si>
  <si>
    <t>Filter Hook Screw</t>
  </si>
  <si>
    <t>Auxiliary Flange</t>
  </si>
  <si>
    <t xml:space="preserve">Bearing   </t>
  </si>
  <si>
    <t>Connections</t>
  </si>
  <si>
    <t>B. Base Plate Bolt</t>
  </si>
  <si>
    <t>B. Base Plate Nut</t>
  </si>
  <si>
    <t>B. Base Plate S. Washer</t>
  </si>
  <si>
    <t>B. Base Plate Washer</t>
  </si>
  <si>
    <t>S. Plate Rawplug</t>
  </si>
  <si>
    <t>S. Plate Bolt</t>
  </si>
  <si>
    <r>
      <t>Ø</t>
    </r>
    <r>
      <rPr>
        <sz val="10.35"/>
        <color theme="1"/>
        <rFont val="Arial"/>
        <family val="2"/>
        <scheme val="minor"/>
      </rPr>
      <t xml:space="preserve">=15 , </t>
    </r>
    <r>
      <rPr>
        <sz val="9"/>
        <color theme="1"/>
        <rFont val="Arial"/>
        <family val="2"/>
        <scheme val="minor"/>
      </rPr>
      <t>L=303</t>
    </r>
  </si>
  <si>
    <r>
      <t>Ø</t>
    </r>
    <r>
      <rPr>
        <sz val="10.35"/>
        <color theme="1"/>
        <rFont val="Arial"/>
        <family val="2"/>
        <scheme val="minor"/>
      </rPr>
      <t xml:space="preserve">=22 , </t>
    </r>
    <r>
      <rPr>
        <sz val="9"/>
        <color theme="1"/>
        <rFont val="Arial"/>
        <family val="2"/>
        <scheme val="minor"/>
      </rPr>
      <t>L=70</t>
    </r>
  </si>
  <si>
    <t>نبشی هرزگزد</t>
  </si>
  <si>
    <t>Motor BP Connector</t>
  </si>
  <si>
    <t>8x40x50</t>
  </si>
  <si>
    <t>صفحه اتصال پولی به میل پیچ</t>
  </si>
  <si>
    <t>PAD Connection</t>
  </si>
  <si>
    <t>Support Flat Washer</t>
  </si>
  <si>
    <t>Support Spring Washer</t>
  </si>
  <si>
    <t>Threaded Bar Cotter</t>
  </si>
  <si>
    <t>Bearing Flat Washer</t>
  </si>
  <si>
    <t>پولی فلزی روتاری</t>
  </si>
  <si>
    <t>درام3400</t>
  </si>
  <si>
    <t>درام5100</t>
  </si>
  <si>
    <t>نوار خاردار</t>
  </si>
  <si>
    <t>سینی شماره 6</t>
  </si>
  <si>
    <t>سینی شماره 7</t>
  </si>
  <si>
    <t>سینی شماره 8</t>
  </si>
  <si>
    <t>نبشی قاب</t>
  </si>
  <si>
    <t>قاب</t>
  </si>
  <si>
    <t>سیستم محرک</t>
  </si>
  <si>
    <t>4x121x1900</t>
  </si>
  <si>
    <t>4x154x1800</t>
  </si>
  <si>
    <t>بازو</t>
  </si>
  <si>
    <t>06</t>
  </si>
  <si>
    <t>M6x100</t>
  </si>
  <si>
    <t>2x1000x500</t>
  </si>
  <si>
    <t>2x80x3492</t>
  </si>
  <si>
    <t xml:space="preserve">تسمه سبز روتاری </t>
  </si>
  <si>
    <t>Ø=65 , L=70</t>
  </si>
  <si>
    <t>Ø=35 , L=160</t>
  </si>
  <si>
    <r>
      <t>Ø</t>
    </r>
    <r>
      <rPr>
        <sz val="10.35"/>
        <color theme="1"/>
        <rFont val="Arial"/>
        <family val="2"/>
        <scheme val="minor"/>
      </rPr>
      <t xml:space="preserve">=22 , </t>
    </r>
    <r>
      <rPr>
        <sz val="9"/>
        <color theme="1"/>
        <rFont val="Arial"/>
        <family val="2"/>
        <scheme val="minor"/>
      </rPr>
      <t>L=88</t>
    </r>
  </si>
  <si>
    <t>RawPlug Bolt</t>
  </si>
  <si>
    <t xml:space="preserve">RawPlug </t>
  </si>
  <si>
    <t>Bearing Spring Washer</t>
  </si>
  <si>
    <t>ARF Casing</t>
  </si>
  <si>
    <t>ARF Axle</t>
  </si>
  <si>
    <t>Drum Frame Horizontal</t>
  </si>
  <si>
    <t>Shaft Flange Stiffener</t>
  </si>
  <si>
    <t>Hook</t>
  </si>
  <si>
    <t>Hook Plate</t>
  </si>
  <si>
    <t>Drum Frame Gusset</t>
  </si>
  <si>
    <t>Filter Belt</t>
  </si>
  <si>
    <t>Drum 3400</t>
  </si>
  <si>
    <t>Drum 5100</t>
  </si>
  <si>
    <t>Frame</t>
  </si>
  <si>
    <t>Air Rotarty Filter Media</t>
  </si>
  <si>
    <t>Shaft Flange Spring Washer</t>
  </si>
  <si>
    <t>Drum Frame Gusset Bolt</t>
  </si>
  <si>
    <t>Drum Frame Gusset Nut</t>
  </si>
  <si>
    <t>Drum Sector Spring Washer</t>
  </si>
  <si>
    <t>Filter Section Spring Washer</t>
  </si>
  <si>
    <t>Drum Cover Plate Bolt</t>
  </si>
  <si>
    <t>Drum Cover Plate Nut</t>
  </si>
  <si>
    <t>Flexible Air Seal</t>
  </si>
  <si>
    <t>Ø=60 , L=260</t>
  </si>
  <si>
    <t>Ø=60 , L=300</t>
  </si>
  <si>
    <t>Actuating</t>
  </si>
  <si>
    <t>Driver Pulley</t>
  </si>
  <si>
    <t>Idle Pulley Flat Washer</t>
  </si>
  <si>
    <t>Geared Motor F Washer</t>
  </si>
  <si>
    <t>GM BP Flat Washer</t>
  </si>
  <si>
    <t>GM BP Spring Washer</t>
  </si>
  <si>
    <t>Geared Motor Stop Washer</t>
  </si>
  <si>
    <t>Cast Iron</t>
  </si>
  <si>
    <t>0.37KW</t>
  </si>
  <si>
    <t>By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</si>
</sst>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Arial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9"/>
      <color theme="1"/>
      <name val="Calibri"/>
      <family val="2"/>
    </font>
    <font>
      <sz val="10.35"/>
      <color theme="1"/>
      <name val="B Nazanin"/>
      <charset val="178"/>
    </font>
    <font>
      <sz val="8"/>
      <color theme="1"/>
      <name val="B Nazanin"/>
      <charset val="178"/>
    </font>
    <font>
      <sz val="9"/>
      <name val="Arial"/>
      <family val="2"/>
      <scheme val="minor"/>
    </font>
    <font>
      <sz val="10"/>
      <name val="Arial"/>
      <family val="2"/>
      <scheme val="minor"/>
    </font>
    <font>
      <sz val="10.35"/>
      <color theme="1"/>
      <name val="Arial"/>
      <family val="2"/>
      <scheme val="minor"/>
    </font>
    <font>
      <sz val="8"/>
      <name val="B Nazanin"/>
      <charset val="178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6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3" fillId="0" borderId="11" xfId="0" quotePrefix="1" applyFont="1" applyFill="1" applyBorder="1" applyAlignment="1">
      <alignment horizontal="center" vertical="center"/>
    </xf>
    <xf numFmtId="0" fontId="13" fillId="0" borderId="13" xfId="0" quotePrefix="1" applyFont="1" applyFill="1" applyBorder="1" applyAlignment="1">
      <alignment horizontal="center" vertical="center"/>
    </xf>
    <xf numFmtId="0" fontId="13" fillId="0" borderId="7" xfId="0" quotePrefix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/>
    </xf>
    <xf numFmtId="49" fontId="13" fillId="0" borderId="13" xfId="0" quotePrefix="1" applyNumberFormat="1" applyFont="1" applyFill="1" applyBorder="1" applyAlignment="1">
      <alignment horizontal="center" vertical="center" wrapText="1"/>
    </xf>
    <xf numFmtId="49" fontId="13" fillId="0" borderId="13" xfId="0" applyNumberFormat="1" applyFont="1" applyFill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1" xfId="0" quotePrefix="1" applyNumberFormat="1" applyFont="1" applyFill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1" fontId="12" fillId="0" borderId="9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11" xfId="0" applyNumberFormat="1" applyFont="1" applyFill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8" fillId="0" borderId="9" xfId="0" applyNumberFormat="1" applyFont="1" applyFill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2" fontId="14" fillId="0" borderId="8" xfId="0" applyNumberFormat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49" fontId="13" fillId="0" borderId="8" xfId="0" applyNumberFormat="1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1" xfId="0" quotePrefix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13" fillId="0" borderId="8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13" fillId="0" borderId="12" xfId="0" applyNumberFormat="1" applyFont="1" applyFill="1" applyBorder="1" applyAlignment="1">
      <alignment horizontal="center" vertical="center"/>
    </xf>
    <xf numFmtId="49" fontId="13" fillId="0" borderId="9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4" fillId="0" borderId="8" xfId="0" applyNumberFormat="1" applyFont="1" applyFill="1" applyBorder="1" applyAlignment="1">
      <alignment horizontal="center" vertical="center"/>
    </xf>
    <xf numFmtId="1" fontId="14" fillId="0" borderId="12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" fontId="14" fillId="0" borderId="6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/>
    <xf numFmtId="1" fontId="13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1" fontId="17" fillId="0" borderId="9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14" fillId="0" borderId="11" xfId="0" quotePrefix="1" applyNumberFormat="1" applyFont="1" applyFill="1" applyBorder="1" applyAlignment="1">
      <alignment horizontal="center" vertical="center"/>
    </xf>
    <xf numFmtId="0" fontId="14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0" fontId="14" fillId="0" borderId="9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vertical="center"/>
    </xf>
    <xf numFmtId="1" fontId="6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0" fontId="18" fillId="0" borderId="12" xfId="0" quotePrefix="1" applyFont="1" applyFill="1" applyBorder="1" applyAlignment="1">
      <alignment horizontal="center" vertical="center"/>
    </xf>
    <xf numFmtId="0" fontId="18" fillId="0" borderId="7" xfId="0" quotePrefix="1" applyFont="1" applyFill="1" applyBorder="1" applyAlignment="1">
      <alignment horizontal="center" vertical="center"/>
    </xf>
    <xf numFmtId="0" fontId="18" fillId="0" borderId="1" xfId="0" quotePrefix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8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/>
    </xf>
    <xf numFmtId="49" fontId="13" fillId="0" borderId="8" xfId="0" applyNumberFormat="1" applyFont="1" applyFill="1" applyBorder="1" applyAlignment="1">
      <alignment horizontal="center" vertical="center"/>
    </xf>
    <xf numFmtId="49" fontId="13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horizontal="center" vertical="center"/>
    </xf>
    <xf numFmtId="0" fontId="14" fillId="0" borderId="12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13" fillId="0" borderId="1" xfId="0" quotePrefix="1" applyNumberFormat="1" applyFont="1" applyFill="1" applyBorder="1" applyAlignment="1">
      <alignment horizontal="center" vertical="center" wrapText="1"/>
    </xf>
    <xf numFmtId="0" fontId="13" fillId="0" borderId="6" xfId="0" quotePrefix="1" applyNumberFormat="1" applyFont="1" applyFill="1" applyBorder="1" applyAlignment="1">
      <alignment horizontal="center" vertical="center" wrapText="1"/>
    </xf>
    <xf numFmtId="0" fontId="13" fillId="0" borderId="8" xfId="0" quotePrefix="1" applyNumberFormat="1" applyFont="1" applyFill="1" applyBorder="1" applyAlignment="1">
      <alignment horizontal="center" vertical="center" wrapText="1"/>
    </xf>
    <xf numFmtId="0" fontId="13" fillId="0" borderId="7" xfId="0" quotePrefix="1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1" fontId="3" fillId="0" borderId="8" xfId="0" applyNumberFormat="1" applyFont="1" applyFill="1" applyBorder="1" applyAlignment="1">
      <alignment horizontal="center" vertical="center" wrapText="1"/>
    </xf>
    <xf numFmtId="1" fontId="3" fillId="0" borderId="7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49" fontId="13" fillId="0" borderId="1" xfId="0" quotePrefix="1" applyNumberFormat="1" applyFont="1" applyFill="1" applyBorder="1" applyAlignment="1">
      <alignment horizontal="center" vertical="center" wrapText="1"/>
    </xf>
    <xf numFmtId="49" fontId="13" fillId="0" borderId="11" xfId="0" quotePrefix="1" applyNumberFormat="1" applyFont="1" applyFill="1" applyBorder="1" applyAlignment="1">
      <alignment horizontal="center" vertical="center" wrapText="1"/>
    </xf>
    <xf numFmtId="49" fontId="13" fillId="0" borderId="7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" fontId="3" fillId="0" borderId="6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1" fontId="3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13" fillId="0" borderId="6" xfId="0" quotePrefix="1" applyNumberFormat="1" applyFont="1" applyFill="1" applyBorder="1" applyAlignment="1">
      <alignment horizontal="center" vertical="center" wrapText="1"/>
    </xf>
    <xf numFmtId="49" fontId="13" fillId="0" borderId="8" xfId="0" quotePrefix="1" applyNumberFormat="1" applyFont="1" applyFill="1" applyBorder="1" applyAlignment="1">
      <alignment horizontal="center" vertical="center" wrapText="1"/>
    </xf>
    <xf numFmtId="49" fontId="13" fillId="0" borderId="7" xfId="0" quotePrefix="1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49" fontId="13" fillId="0" borderId="11" xfId="0" applyNumberFormat="1" applyFont="1" applyFill="1" applyBorder="1" applyAlignment="1">
      <alignment horizontal="center" vertical="center"/>
    </xf>
    <xf numFmtId="49" fontId="13" fillId="0" borderId="6" xfId="0" applyNumberFormat="1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" fontId="13" fillId="0" borderId="10" xfId="0" applyNumberFormat="1" applyFont="1" applyFill="1" applyBorder="1" applyAlignment="1">
      <alignment horizontal="center" vertical="center"/>
    </xf>
    <xf numFmtId="1" fontId="13" fillId="0" borderId="12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12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1" fontId="12" fillId="4" borderId="11" xfId="0" applyNumberFormat="1" applyFont="1" applyFill="1" applyBorder="1" applyAlignment="1">
      <alignment horizontal="center" vertical="center"/>
    </xf>
    <xf numFmtId="1" fontId="12" fillId="4" borderId="9" xfId="0" applyNumberFormat="1" applyFont="1" applyFill="1" applyBorder="1" applyAlignment="1">
      <alignment horizontal="center" vertical="center"/>
    </xf>
    <xf numFmtId="1" fontId="12" fillId="4" borderId="7" xfId="0" applyNumberFormat="1" applyFont="1" applyFill="1" applyBorder="1" applyAlignment="1">
      <alignment horizontal="center" vertical="center"/>
    </xf>
    <xf numFmtId="1" fontId="12" fillId="5" borderId="9" xfId="0" applyNumberFormat="1" applyFont="1" applyFill="1" applyBorder="1" applyAlignment="1">
      <alignment horizontal="center" vertical="center"/>
    </xf>
    <xf numFmtId="1" fontId="12" fillId="5" borderId="11" xfId="0" applyNumberFormat="1" applyFont="1" applyFill="1" applyBorder="1" applyAlignment="1">
      <alignment horizontal="center" vertical="center"/>
    </xf>
    <xf numFmtId="1" fontId="12" fillId="5" borderId="7" xfId="0" applyNumberFormat="1" applyFont="1" applyFill="1" applyBorder="1" applyAlignment="1">
      <alignment horizontal="center" vertical="center" wrapText="1"/>
    </xf>
    <xf numFmtId="1" fontId="12" fillId="5" borderId="1" xfId="0" applyNumberFormat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18</xdr:row>
      <xdr:rowOff>54249</xdr:rowOff>
    </xdr:from>
    <xdr:to>
      <xdr:col>14</xdr:col>
      <xdr:colOff>349074</xdr:colOff>
      <xdr:row>22</xdr:row>
      <xdr:rowOff>171450</xdr:rowOff>
    </xdr:to>
    <xdr:grpSp>
      <xdr:nvGrpSpPr>
        <xdr:cNvPr id="2" name="Group 1"/>
        <xdr:cNvGrpSpPr/>
      </xdr:nvGrpSpPr>
      <xdr:grpSpPr>
        <a:xfrm>
          <a:off x="9524" y="3690314"/>
          <a:ext cx="8315702" cy="84607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231085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231086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</a:t>
          </a:r>
          <a:r>
            <a:rPr lang="fa-IR" sz="1050" baseline="0">
              <a:cs typeface="B Nazanin" panose="00000400000000000000" pitchFamily="2" charset="-78"/>
            </a:rPr>
            <a:t>فیلتر روتاری هوا</a:t>
          </a:r>
          <a:endParaRPr lang="en-US" sz="105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239364</xdr:colOff>
      <xdr:row>1</xdr:row>
      <xdr:rowOff>173926</xdr:rowOff>
    </xdr:from>
    <xdr:to>
      <xdr:col>7</xdr:col>
      <xdr:colOff>291544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پایه ثابت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299814</xdr:colOff>
      <xdr:row>0</xdr:row>
      <xdr:rowOff>8279</xdr:rowOff>
    </xdr:from>
    <xdr:to>
      <xdr:col>10</xdr:col>
      <xdr:colOff>180975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0</xdr:row>
      <xdr:rowOff>8279</xdr:rowOff>
    </xdr:from>
    <xdr:to>
      <xdr:col>7</xdr:col>
      <xdr:colOff>291546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245153</xdr:colOff>
      <xdr:row>0</xdr:row>
      <xdr:rowOff>8279</xdr:rowOff>
    </xdr:from>
    <xdr:to>
      <xdr:col>14</xdr:col>
      <xdr:colOff>180975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BOM-01</a:t>
          </a:r>
          <a:r>
            <a:rPr lang="en-US" sz="1100" baseline="0"/>
            <a:t> 04 00</a:t>
          </a:r>
          <a:endParaRPr lang="en-US" sz="1100"/>
        </a:p>
      </xdr:txBody>
    </xdr:sp>
    <xdr:clientData/>
  </xdr:twoCellAnchor>
  <xdr:twoCellAnchor editAs="absolute">
    <xdr:from>
      <xdr:col>7</xdr:col>
      <xdr:colOff>303123</xdr:colOff>
      <xdr:row>1</xdr:row>
      <xdr:rowOff>167712</xdr:rowOff>
    </xdr:from>
    <xdr:to>
      <xdr:col>9</xdr:col>
      <xdr:colOff>240175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7</a:t>
          </a:r>
          <a:endParaRPr lang="en-US" sz="1050"/>
        </a:p>
      </xdr:txBody>
    </xdr:sp>
    <xdr:clientData/>
  </xdr:twoCellAnchor>
  <xdr:twoCellAnchor editAs="absolute">
    <xdr:from>
      <xdr:col>9</xdr:col>
      <xdr:colOff>248464</xdr:colOff>
      <xdr:row>1</xdr:row>
      <xdr:rowOff>167727</xdr:rowOff>
    </xdr:from>
    <xdr:to>
      <xdr:col>12</xdr:col>
      <xdr:colOff>599315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601309</xdr:colOff>
      <xdr:row>1</xdr:row>
      <xdr:rowOff>162751</xdr:rowOff>
    </xdr:from>
    <xdr:to>
      <xdr:col>14</xdr:col>
      <xdr:colOff>180635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238125</xdr:colOff>
      <xdr:row>0</xdr:row>
      <xdr:rowOff>38100</xdr:rowOff>
    </xdr:from>
    <xdr:to>
      <xdr:col>16</xdr:col>
      <xdr:colOff>139700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60</xdr:row>
      <xdr:rowOff>73299</xdr:rowOff>
    </xdr:from>
    <xdr:to>
      <xdr:col>14</xdr:col>
      <xdr:colOff>396699</xdr:colOff>
      <xdr:row>64</xdr:row>
      <xdr:rowOff>171450</xdr:rowOff>
    </xdr:to>
    <xdr:grpSp>
      <xdr:nvGrpSpPr>
        <xdr:cNvPr id="21" name="Group 20"/>
        <xdr:cNvGrpSpPr/>
      </xdr:nvGrpSpPr>
      <xdr:grpSpPr>
        <a:xfrm>
          <a:off x="57149" y="11254821"/>
          <a:ext cx="8315702" cy="827020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36</xdr:row>
      <xdr:rowOff>28577</xdr:rowOff>
    </xdr:from>
    <xdr:to>
      <xdr:col>3</xdr:col>
      <xdr:colOff>269185</xdr:colOff>
      <xdr:row>38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531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38</xdr:row>
      <xdr:rowOff>13260</xdr:rowOff>
    </xdr:from>
    <xdr:to>
      <xdr:col>3</xdr:col>
      <xdr:colOff>269186</xdr:colOff>
      <xdr:row>39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188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fa-IR" sz="1000">
              <a:cs typeface="B Nazanin" panose="00000400000000000000" pitchFamily="2" charset="-78"/>
            </a:rPr>
            <a:t>فیلتر روتاری هوا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277464</xdr:colOff>
      <xdr:row>38</xdr:row>
      <xdr:rowOff>13247</xdr:rowOff>
    </xdr:from>
    <xdr:to>
      <xdr:col>7</xdr:col>
      <xdr:colOff>329644</xdr:colOff>
      <xdr:row>39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188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پایه متحرک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337914</xdr:colOff>
      <xdr:row>36</xdr:row>
      <xdr:rowOff>28575</xdr:rowOff>
    </xdr:from>
    <xdr:to>
      <xdr:col>10</xdr:col>
      <xdr:colOff>219075</xdr:colOff>
      <xdr:row>38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531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36</xdr:row>
      <xdr:rowOff>28575</xdr:rowOff>
    </xdr:from>
    <xdr:to>
      <xdr:col>7</xdr:col>
      <xdr:colOff>329646</xdr:colOff>
      <xdr:row>38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531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283253</xdr:colOff>
      <xdr:row>36</xdr:row>
      <xdr:rowOff>28575</xdr:rowOff>
    </xdr:from>
    <xdr:to>
      <xdr:col>14</xdr:col>
      <xdr:colOff>219075</xdr:colOff>
      <xdr:row>38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531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BOM-01 04 00</a:t>
          </a:r>
        </a:p>
      </xdr:txBody>
    </xdr:sp>
    <xdr:clientData/>
  </xdr:twoCellAnchor>
  <xdr:twoCellAnchor editAs="absolute">
    <xdr:from>
      <xdr:col>7</xdr:col>
      <xdr:colOff>341223</xdr:colOff>
      <xdr:row>38</xdr:row>
      <xdr:rowOff>7033</xdr:rowOff>
    </xdr:from>
    <xdr:to>
      <xdr:col>9</xdr:col>
      <xdr:colOff>278275</xdr:colOff>
      <xdr:row>39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126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7</a:t>
          </a:r>
          <a:endParaRPr lang="en-US" sz="1050"/>
        </a:p>
      </xdr:txBody>
    </xdr:sp>
    <xdr:clientData/>
  </xdr:twoCellAnchor>
  <xdr:twoCellAnchor editAs="absolute">
    <xdr:from>
      <xdr:col>9</xdr:col>
      <xdr:colOff>286564</xdr:colOff>
      <xdr:row>38</xdr:row>
      <xdr:rowOff>7048</xdr:rowOff>
    </xdr:from>
    <xdr:to>
      <xdr:col>12</xdr:col>
      <xdr:colOff>637415</xdr:colOff>
      <xdr:row>39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126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639409</xdr:colOff>
      <xdr:row>38</xdr:row>
      <xdr:rowOff>2072</xdr:rowOff>
    </xdr:from>
    <xdr:to>
      <xdr:col>14</xdr:col>
      <xdr:colOff>218735</xdr:colOff>
      <xdr:row>39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076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276225</xdr:colOff>
      <xdr:row>36</xdr:row>
      <xdr:rowOff>58396</xdr:rowOff>
    </xdr:from>
    <xdr:to>
      <xdr:col>16</xdr:col>
      <xdr:colOff>177800</xdr:colOff>
      <xdr:row>39</xdr:row>
      <xdr:rowOff>126976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3829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87</xdr:row>
      <xdr:rowOff>25674</xdr:rowOff>
    </xdr:from>
    <xdr:to>
      <xdr:col>14</xdr:col>
      <xdr:colOff>406224</xdr:colOff>
      <xdr:row>91</xdr:row>
      <xdr:rowOff>114300</xdr:rowOff>
    </xdr:to>
    <xdr:grpSp>
      <xdr:nvGrpSpPr>
        <xdr:cNvPr id="40" name="Group 39"/>
        <xdr:cNvGrpSpPr/>
      </xdr:nvGrpSpPr>
      <xdr:grpSpPr>
        <a:xfrm>
          <a:off x="66674" y="16466652"/>
          <a:ext cx="8315702" cy="81749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66</xdr:row>
      <xdr:rowOff>19052</xdr:rowOff>
    </xdr:from>
    <xdr:to>
      <xdr:col>3</xdr:col>
      <xdr:colOff>259660</xdr:colOff>
      <xdr:row>67</xdr:row>
      <xdr:rowOff>176423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28575</xdr:colOff>
      <xdr:row>68</xdr:row>
      <xdr:rowOff>3735</xdr:rowOff>
    </xdr:from>
    <xdr:to>
      <xdr:col>3</xdr:col>
      <xdr:colOff>259661</xdr:colOff>
      <xdr:row>69</xdr:row>
      <xdr:rowOff>151182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900"/>
            <a:t> </a:t>
          </a:r>
          <a:r>
            <a:rPr lang="fa-IR" sz="1000">
              <a:cs typeface="B Nazanin" panose="00000400000000000000" pitchFamily="2" charset="-78"/>
            </a:rPr>
            <a:t>فیلتر روتاری هوا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267939</xdr:colOff>
      <xdr:row>68</xdr:row>
      <xdr:rowOff>3722</xdr:rowOff>
    </xdr:from>
    <xdr:to>
      <xdr:col>7</xdr:col>
      <xdr:colOff>320119</xdr:colOff>
      <xdr:row>69</xdr:row>
      <xdr:rowOff>151169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پایه متحرک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328389</xdr:colOff>
      <xdr:row>66</xdr:row>
      <xdr:rowOff>19050</xdr:rowOff>
    </xdr:from>
    <xdr:to>
      <xdr:col>10</xdr:col>
      <xdr:colOff>209550</xdr:colOff>
      <xdr:row>68</xdr:row>
      <xdr:rowOff>4572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267939</xdr:colOff>
      <xdr:row>66</xdr:row>
      <xdr:rowOff>19050</xdr:rowOff>
    </xdr:from>
    <xdr:to>
      <xdr:col>7</xdr:col>
      <xdr:colOff>320121</xdr:colOff>
      <xdr:row>68</xdr:row>
      <xdr:rowOff>4572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273728</xdr:colOff>
      <xdr:row>66</xdr:row>
      <xdr:rowOff>19050</xdr:rowOff>
    </xdr:from>
    <xdr:to>
      <xdr:col>14</xdr:col>
      <xdr:colOff>209550</xdr:colOff>
      <xdr:row>68</xdr:row>
      <xdr:rowOff>4572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331698</xdr:colOff>
      <xdr:row>67</xdr:row>
      <xdr:rowOff>178483</xdr:rowOff>
    </xdr:from>
    <xdr:to>
      <xdr:col>9</xdr:col>
      <xdr:colOff>268750</xdr:colOff>
      <xdr:row>69</xdr:row>
      <xdr:rowOff>144955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7</a:t>
          </a:r>
          <a:endParaRPr lang="en-US" sz="1050"/>
        </a:p>
      </xdr:txBody>
    </xdr:sp>
    <xdr:clientData/>
  </xdr:twoCellAnchor>
  <xdr:twoCellAnchor editAs="absolute">
    <xdr:from>
      <xdr:col>9</xdr:col>
      <xdr:colOff>277039</xdr:colOff>
      <xdr:row>67</xdr:row>
      <xdr:rowOff>178498</xdr:rowOff>
    </xdr:from>
    <xdr:to>
      <xdr:col>12</xdr:col>
      <xdr:colOff>627890</xdr:colOff>
      <xdr:row>69</xdr:row>
      <xdr:rowOff>144970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629884</xdr:colOff>
      <xdr:row>68</xdr:row>
      <xdr:rowOff>2072</xdr:rowOff>
    </xdr:from>
    <xdr:to>
      <xdr:col>14</xdr:col>
      <xdr:colOff>209210</xdr:colOff>
      <xdr:row>69</xdr:row>
      <xdr:rowOff>139994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266700</xdr:colOff>
      <xdr:row>66</xdr:row>
      <xdr:rowOff>48871</xdr:rowOff>
    </xdr:from>
    <xdr:to>
      <xdr:col>16</xdr:col>
      <xdr:colOff>168275</xdr:colOff>
      <xdr:row>69</xdr:row>
      <xdr:rowOff>117451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97</xdr:row>
      <xdr:rowOff>38102</xdr:rowOff>
    </xdr:from>
    <xdr:to>
      <xdr:col>3</xdr:col>
      <xdr:colOff>250135</xdr:colOff>
      <xdr:row>99</xdr:row>
      <xdr:rowOff>4973</xdr:rowOff>
    </xdr:to>
    <xdr:sp macro="" textlink="">
      <xdr:nvSpPr>
        <xdr:cNvPr id="59" name="TextBox 58"/>
        <xdr:cNvSpPr txBox="1"/>
      </xdr:nvSpPr>
      <xdr:spPr>
        <a:xfrm>
          <a:off x="19050" y="190119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0</xdr:col>
      <xdr:colOff>19050</xdr:colOff>
      <xdr:row>99</xdr:row>
      <xdr:rowOff>13260</xdr:rowOff>
    </xdr:from>
    <xdr:to>
      <xdr:col>3</xdr:col>
      <xdr:colOff>250136</xdr:colOff>
      <xdr:row>100</xdr:row>
      <xdr:rowOff>170232</xdr:rowOff>
    </xdr:to>
    <xdr:sp macro="" textlink="">
      <xdr:nvSpPr>
        <xdr:cNvPr id="60" name="TextBox 59"/>
        <xdr:cNvSpPr txBox="1"/>
      </xdr:nvSpPr>
      <xdr:spPr>
        <a:xfrm>
          <a:off x="19050" y="193680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900" baseline="0"/>
            <a:t> </a:t>
          </a:r>
          <a:r>
            <a:rPr lang="fa-IR" sz="1000" baseline="0">
              <a:cs typeface="B Nazanin" panose="00000400000000000000" pitchFamily="2" charset="-78"/>
            </a:rPr>
            <a:t>فیلتر روتاری هوا</a:t>
          </a:r>
          <a:endParaRPr lang="en-US" sz="100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258414</xdr:colOff>
      <xdr:row>99</xdr:row>
      <xdr:rowOff>13247</xdr:rowOff>
    </xdr:from>
    <xdr:to>
      <xdr:col>7</xdr:col>
      <xdr:colOff>310594</xdr:colOff>
      <xdr:row>100</xdr:row>
      <xdr:rowOff>170219</xdr:rowOff>
    </xdr:to>
    <xdr:sp macro="" textlink="">
      <xdr:nvSpPr>
        <xdr:cNvPr id="61" name="TextBox 60"/>
        <xdr:cNvSpPr txBox="1"/>
      </xdr:nvSpPr>
      <xdr:spPr>
        <a:xfrm>
          <a:off x="1372839" y="193680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درام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318864</xdr:colOff>
      <xdr:row>97</xdr:row>
      <xdr:rowOff>38100</xdr:rowOff>
    </xdr:from>
    <xdr:to>
      <xdr:col>10</xdr:col>
      <xdr:colOff>200025</xdr:colOff>
      <xdr:row>99</xdr:row>
      <xdr:rowOff>4572</xdr:rowOff>
    </xdr:to>
    <xdr:sp macro="" textlink="">
      <xdr:nvSpPr>
        <xdr:cNvPr id="62" name="TextBox 61"/>
        <xdr:cNvSpPr txBox="1"/>
      </xdr:nvSpPr>
      <xdr:spPr>
        <a:xfrm>
          <a:off x="3166839" y="190119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r>
            <a:rPr lang="fa-IR" sz="1100" baseline="0"/>
            <a:t>--</a:t>
          </a:r>
          <a:endParaRPr lang="en-US" sz="1100"/>
        </a:p>
      </xdr:txBody>
    </xdr:sp>
    <xdr:clientData/>
  </xdr:twoCellAnchor>
  <xdr:twoCellAnchor editAs="absolute">
    <xdr:from>
      <xdr:col>3</xdr:col>
      <xdr:colOff>258414</xdr:colOff>
      <xdr:row>97</xdr:row>
      <xdr:rowOff>38100</xdr:rowOff>
    </xdr:from>
    <xdr:to>
      <xdr:col>7</xdr:col>
      <xdr:colOff>310596</xdr:colOff>
      <xdr:row>99</xdr:row>
      <xdr:rowOff>4572</xdr:rowOff>
    </xdr:to>
    <xdr:sp macro="" textlink="">
      <xdr:nvSpPr>
        <xdr:cNvPr id="63" name="TextBox 62"/>
        <xdr:cNvSpPr txBox="1"/>
      </xdr:nvSpPr>
      <xdr:spPr>
        <a:xfrm>
          <a:off x="1372839" y="190119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264203</xdr:colOff>
      <xdr:row>97</xdr:row>
      <xdr:rowOff>38100</xdr:rowOff>
    </xdr:from>
    <xdr:to>
      <xdr:col>14</xdr:col>
      <xdr:colOff>200025</xdr:colOff>
      <xdr:row>99</xdr:row>
      <xdr:rowOff>4572</xdr:rowOff>
    </xdr:to>
    <xdr:sp macro="" textlink="">
      <xdr:nvSpPr>
        <xdr:cNvPr id="64" name="TextBox 63"/>
        <xdr:cNvSpPr txBox="1"/>
      </xdr:nvSpPr>
      <xdr:spPr>
        <a:xfrm>
          <a:off x="4569503" y="190119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322173</xdr:colOff>
      <xdr:row>99</xdr:row>
      <xdr:rowOff>7033</xdr:rowOff>
    </xdr:from>
    <xdr:to>
      <xdr:col>9</xdr:col>
      <xdr:colOff>259225</xdr:colOff>
      <xdr:row>100</xdr:row>
      <xdr:rowOff>164005</xdr:rowOff>
    </xdr:to>
    <xdr:sp macro="" textlink="">
      <xdr:nvSpPr>
        <xdr:cNvPr id="65" name="TextBox 64"/>
        <xdr:cNvSpPr txBox="1"/>
      </xdr:nvSpPr>
      <xdr:spPr>
        <a:xfrm>
          <a:off x="3170148" y="193618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7</a:t>
          </a:r>
          <a:endParaRPr lang="en-US" sz="1050"/>
        </a:p>
      </xdr:txBody>
    </xdr:sp>
    <xdr:clientData/>
  </xdr:twoCellAnchor>
  <xdr:twoCellAnchor editAs="absolute">
    <xdr:from>
      <xdr:col>9</xdr:col>
      <xdr:colOff>267514</xdr:colOff>
      <xdr:row>99</xdr:row>
      <xdr:rowOff>7048</xdr:rowOff>
    </xdr:from>
    <xdr:to>
      <xdr:col>12</xdr:col>
      <xdr:colOff>618365</xdr:colOff>
      <xdr:row>100</xdr:row>
      <xdr:rowOff>164020</xdr:rowOff>
    </xdr:to>
    <xdr:sp macro="" textlink="">
      <xdr:nvSpPr>
        <xdr:cNvPr id="66" name="TextBox 65"/>
        <xdr:cNvSpPr txBox="1"/>
      </xdr:nvSpPr>
      <xdr:spPr>
        <a:xfrm>
          <a:off x="4572814" y="193618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620359</xdr:colOff>
      <xdr:row>99</xdr:row>
      <xdr:rowOff>2072</xdr:rowOff>
    </xdr:from>
    <xdr:to>
      <xdr:col>14</xdr:col>
      <xdr:colOff>199685</xdr:colOff>
      <xdr:row>100</xdr:row>
      <xdr:rowOff>159044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78184" y="193568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14</xdr:col>
      <xdr:colOff>228600</xdr:colOff>
      <xdr:row>97</xdr:row>
      <xdr:rowOff>106021</xdr:rowOff>
    </xdr:from>
    <xdr:to>
      <xdr:col>16</xdr:col>
      <xdr:colOff>130175</xdr:colOff>
      <xdr:row>100</xdr:row>
      <xdr:rowOff>174601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190798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128</xdr:row>
      <xdr:rowOff>38102</xdr:rowOff>
    </xdr:from>
    <xdr:to>
      <xdr:col>3</xdr:col>
      <xdr:colOff>269185</xdr:colOff>
      <xdr:row>130</xdr:row>
      <xdr:rowOff>4973</xdr:rowOff>
    </xdr:to>
    <xdr:sp macro="" textlink="">
      <xdr:nvSpPr>
        <xdr:cNvPr id="69" name="TextBox 68"/>
        <xdr:cNvSpPr txBox="1"/>
      </xdr:nvSpPr>
      <xdr:spPr>
        <a:xfrm>
          <a:off x="38100" y="252507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130</xdr:row>
      <xdr:rowOff>13260</xdr:rowOff>
    </xdr:from>
    <xdr:to>
      <xdr:col>3</xdr:col>
      <xdr:colOff>269186</xdr:colOff>
      <xdr:row>131</xdr:row>
      <xdr:rowOff>170232</xdr:rowOff>
    </xdr:to>
    <xdr:sp macro="" textlink="">
      <xdr:nvSpPr>
        <xdr:cNvPr id="70" name="TextBox 69"/>
        <xdr:cNvSpPr txBox="1"/>
      </xdr:nvSpPr>
      <xdr:spPr>
        <a:xfrm>
          <a:off x="38100" y="256069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900" baseline="0"/>
            <a:t> </a:t>
          </a:r>
          <a:r>
            <a:rPr lang="fa-IR" sz="1000" baseline="0">
              <a:cs typeface="B Nazanin" panose="00000400000000000000" pitchFamily="2" charset="-78"/>
            </a:rPr>
            <a:t>فیلتر روتاری هوا</a:t>
          </a:r>
          <a:endParaRPr lang="en-US" sz="90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277464</xdr:colOff>
      <xdr:row>130</xdr:row>
      <xdr:rowOff>13247</xdr:rowOff>
    </xdr:from>
    <xdr:to>
      <xdr:col>7</xdr:col>
      <xdr:colOff>329644</xdr:colOff>
      <xdr:row>131</xdr:row>
      <xdr:rowOff>170219</xdr:rowOff>
    </xdr:to>
    <xdr:sp macro="" textlink="">
      <xdr:nvSpPr>
        <xdr:cNvPr id="71" name="TextBox 70"/>
        <xdr:cNvSpPr txBox="1"/>
      </xdr:nvSpPr>
      <xdr:spPr>
        <a:xfrm>
          <a:off x="1391889" y="256069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درام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337914</xdr:colOff>
      <xdr:row>128</xdr:row>
      <xdr:rowOff>38100</xdr:rowOff>
    </xdr:from>
    <xdr:to>
      <xdr:col>10</xdr:col>
      <xdr:colOff>219075</xdr:colOff>
      <xdr:row>130</xdr:row>
      <xdr:rowOff>4572</xdr:rowOff>
    </xdr:to>
    <xdr:sp macro="" textlink="">
      <xdr:nvSpPr>
        <xdr:cNvPr id="72" name="TextBox 71"/>
        <xdr:cNvSpPr txBox="1"/>
      </xdr:nvSpPr>
      <xdr:spPr>
        <a:xfrm>
          <a:off x="3185889" y="252507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128</xdr:row>
      <xdr:rowOff>38100</xdr:rowOff>
    </xdr:from>
    <xdr:to>
      <xdr:col>7</xdr:col>
      <xdr:colOff>329646</xdr:colOff>
      <xdr:row>130</xdr:row>
      <xdr:rowOff>4572</xdr:rowOff>
    </xdr:to>
    <xdr:sp macro="" textlink="">
      <xdr:nvSpPr>
        <xdr:cNvPr id="73" name="TextBox 72"/>
        <xdr:cNvSpPr txBox="1"/>
      </xdr:nvSpPr>
      <xdr:spPr>
        <a:xfrm>
          <a:off x="1391889" y="252507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283253</xdr:colOff>
      <xdr:row>128</xdr:row>
      <xdr:rowOff>38100</xdr:rowOff>
    </xdr:from>
    <xdr:to>
      <xdr:col>14</xdr:col>
      <xdr:colOff>219075</xdr:colOff>
      <xdr:row>130</xdr:row>
      <xdr:rowOff>4572</xdr:rowOff>
    </xdr:to>
    <xdr:sp macro="" textlink="">
      <xdr:nvSpPr>
        <xdr:cNvPr id="74" name="TextBox 73"/>
        <xdr:cNvSpPr txBox="1"/>
      </xdr:nvSpPr>
      <xdr:spPr>
        <a:xfrm>
          <a:off x="4588553" y="252507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341223</xdr:colOff>
      <xdr:row>130</xdr:row>
      <xdr:rowOff>7033</xdr:rowOff>
    </xdr:from>
    <xdr:to>
      <xdr:col>9</xdr:col>
      <xdr:colOff>278275</xdr:colOff>
      <xdr:row>131</xdr:row>
      <xdr:rowOff>164005</xdr:rowOff>
    </xdr:to>
    <xdr:sp macro="" textlink="">
      <xdr:nvSpPr>
        <xdr:cNvPr id="75" name="TextBox 74"/>
        <xdr:cNvSpPr txBox="1"/>
      </xdr:nvSpPr>
      <xdr:spPr>
        <a:xfrm>
          <a:off x="3189198" y="256007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7</a:t>
          </a:r>
          <a:endParaRPr lang="en-US" sz="1050"/>
        </a:p>
      </xdr:txBody>
    </xdr:sp>
    <xdr:clientData/>
  </xdr:twoCellAnchor>
  <xdr:twoCellAnchor editAs="absolute">
    <xdr:from>
      <xdr:col>9</xdr:col>
      <xdr:colOff>286564</xdr:colOff>
      <xdr:row>130</xdr:row>
      <xdr:rowOff>7048</xdr:rowOff>
    </xdr:from>
    <xdr:to>
      <xdr:col>12</xdr:col>
      <xdr:colOff>637415</xdr:colOff>
      <xdr:row>131</xdr:row>
      <xdr:rowOff>164020</xdr:rowOff>
    </xdr:to>
    <xdr:sp macro="" textlink="">
      <xdr:nvSpPr>
        <xdr:cNvPr id="76" name="TextBox 75"/>
        <xdr:cNvSpPr txBox="1"/>
      </xdr:nvSpPr>
      <xdr:spPr>
        <a:xfrm>
          <a:off x="4591864" y="256007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639409</xdr:colOff>
      <xdr:row>130</xdr:row>
      <xdr:rowOff>2072</xdr:rowOff>
    </xdr:from>
    <xdr:to>
      <xdr:col>14</xdr:col>
      <xdr:colOff>218735</xdr:colOff>
      <xdr:row>131</xdr:row>
      <xdr:rowOff>159044</xdr:rowOff>
    </xdr:to>
    <xdr:sp macro="" textlink="">
      <xdr:nvSpPr>
        <xdr:cNvPr id="77" name="TextBox 76"/>
        <xdr:cNvSpPr txBox="1">
          <a:spLocks/>
        </xdr:cNvSpPr>
      </xdr:nvSpPr>
      <xdr:spPr>
        <a:xfrm>
          <a:off x="6097234" y="255957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276225</xdr:colOff>
      <xdr:row>128</xdr:row>
      <xdr:rowOff>67921</xdr:rowOff>
    </xdr:from>
    <xdr:to>
      <xdr:col>16</xdr:col>
      <xdr:colOff>177800</xdr:colOff>
      <xdr:row>131</xdr:row>
      <xdr:rowOff>136501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25280596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28575</xdr:colOff>
      <xdr:row>161</xdr:row>
      <xdr:rowOff>104777</xdr:rowOff>
    </xdr:from>
    <xdr:to>
      <xdr:col>3</xdr:col>
      <xdr:colOff>259660</xdr:colOff>
      <xdr:row>163</xdr:row>
      <xdr:rowOff>71648</xdr:rowOff>
    </xdr:to>
    <xdr:sp macro="" textlink="">
      <xdr:nvSpPr>
        <xdr:cNvPr id="79" name="TextBox 78"/>
        <xdr:cNvSpPr txBox="1"/>
      </xdr:nvSpPr>
      <xdr:spPr>
        <a:xfrm>
          <a:off x="28575" y="315372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0</xdr:col>
      <xdr:colOff>28575</xdr:colOff>
      <xdr:row>163</xdr:row>
      <xdr:rowOff>79935</xdr:rowOff>
    </xdr:from>
    <xdr:to>
      <xdr:col>3</xdr:col>
      <xdr:colOff>259661</xdr:colOff>
      <xdr:row>165</xdr:row>
      <xdr:rowOff>46407</xdr:rowOff>
    </xdr:to>
    <xdr:sp macro="" textlink="">
      <xdr:nvSpPr>
        <xdr:cNvPr id="80" name="TextBox 79"/>
        <xdr:cNvSpPr txBox="1"/>
      </xdr:nvSpPr>
      <xdr:spPr>
        <a:xfrm>
          <a:off x="28575" y="318934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</a:t>
          </a:r>
          <a:r>
            <a:rPr lang="fa-IR" sz="1100" baseline="0">
              <a:cs typeface="B Nazanin" panose="00000400000000000000" pitchFamily="2" charset="-78"/>
            </a:rPr>
            <a:t>فیلتر روتاری هوا</a:t>
          </a:r>
          <a:endParaRPr lang="en-US" sz="90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267939</xdr:colOff>
      <xdr:row>163</xdr:row>
      <xdr:rowOff>79922</xdr:rowOff>
    </xdr:from>
    <xdr:to>
      <xdr:col>7</xdr:col>
      <xdr:colOff>320119</xdr:colOff>
      <xdr:row>165</xdr:row>
      <xdr:rowOff>46394</xdr:rowOff>
    </xdr:to>
    <xdr:sp macro="" textlink="">
      <xdr:nvSpPr>
        <xdr:cNvPr id="81" name="TextBox 80"/>
        <xdr:cNvSpPr txBox="1"/>
      </xdr:nvSpPr>
      <xdr:spPr>
        <a:xfrm>
          <a:off x="1382364" y="318934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قاب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328389</xdr:colOff>
      <xdr:row>161</xdr:row>
      <xdr:rowOff>104775</xdr:rowOff>
    </xdr:from>
    <xdr:to>
      <xdr:col>10</xdr:col>
      <xdr:colOff>209550</xdr:colOff>
      <xdr:row>163</xdr:row>
      <xdr:rowOff>71247</xdr:rowOff>
    </xdr:to>
    <xdr:sp macro="" textlink="">
      <xdr:nvSpPr>
        <xdr:cNvPr id="82" name="TextBox 81"/>
        <xdr:cNvSpPr txBox="1"/>
      </xdr:nvSpPr>
      <xdr:spPr>
        <a:xfrm>
          <a:off x="3176364" y="315372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r>
            <a:rPr lang="fa-IR" sz="1100" baseline="0"/>
            <a:t>--</a:t>
          </a:r>
          <a:endParaRPr lang="en-US" sz="1100"/>
        </a:p>
      </xdr:txBody>
    </xdr:sp>
    <xdr:clientData/>
  </xdr:twoCellAnchor>
  <xdr:twoCellAnchor editAs="absolute">
    <xdr:from>
      <xdr:col>3</xdr:col>
      <xdr:colOff>267939</xdr:colOff>
      <xdr:row>161</xdr:row>
      <xdr:rowOff>104775</xdr:rowOff>
    </xdr:from>
    <xdr:to>
      <xdr:col>7</xdr:col>
      <xdr:colOff>320121</xdr:colOff>
      <xdr:row>163</xdr:row>
      <xdr:rowOff>71247</xdr:rowOff>
    </xdr:to>
    <xdr:sp macro="" textlink="">
      <xdr:nvSpPr>
        <xdr:cNvPr id="83" name="TextBox 82"/>
        <xdr:cNvSpPr txBox="1"/>
      </xdr:nvSpPr>
      <xdr:spPr>
        <a:xfrm>
          <a:off x="1382364" y="315372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273728</xdr:colOff>
      <xdr:row>161</xdr:row>
      <xdr:rowOff>104775</xdr:rowOff>
    </xdr:from>
    <xdr:to>
      <xdr:col>14</xdr:col>
      <xdr:colOff>209550</xdr:colOff>
      <xdr:row>163</xdr:row>
      <xdr:rowOff>71247</xdr:rowOff>
    </xdr:to>
    <xdr:sp macro="" textlink="">
      <xdr:nvSpPr>
        <xdr:cNvPr id="84" name="TextBox 83"/>
        <xdr:cNvSpPr txBox="1"/>
      </xdr:nvSpPr>
      <xdr:spPr>
        <a:xfrm>
          <a:off x="4579028" y="315372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331698</xdr:colOff>
      <xdr:row>163</xdr:row>
      <xdr:rowOff>73708</xdr:rowOff>
    </xdr:from>
    <xdr:to>
      <xdr:col>9</xdr:col>
      <xdr:colOff>268750</xdr:colOff>
      <xdr:row>165</xdr:row>
      <xdr:rowOff>40180</xdr:rowOff>
    </xdr:to>
    <xdr:sp macro="" textlink="">
      <xdr:nvSpPr>
        <xdr:cNvPr id="85" name="TextBox 84"/>
        <xdr:cNvSpPr txBox="1"/>
      </xdr:nvSpPr>
      <xdr:spPr>
        <a:xfrm>
          <a:off x="3179673" y="318872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6 of 7</a:t>
          </a:r>
          <a:endParaRPr lang="en-US" sz="1050"/>
        </a:p>
      </xdr:txBody>
    </xdr:sp>
    <xdr:clientData/>
  </xdr:twoCellAnchor>
  <xdr:twoCellAnchor editAs="absolute">
    <xdr:from>
      <xdr:col>9</xdr:col>
      <xdr:colOff>277039</xdr:colOff>
      <xdr:row>163</xdr:row>
      <xdr:rowOff>73723</xdr:rowOff>
    </xdr:from>
    <xdr:to>
      <xdr:col>12</xdr:col>
      <xdr:colOff>627890</xdr:colOff>
      <xdr:row>165</xdr:row>
      <xdr:rowOff>40195</xdr:rowOff>
    </xdr:to>
    <xdr:sp macro="" textlink="">
      <xdr:nvSpPr>
        <xdr:cNvPr id="86" name="TextBox 85"/>
        <xdr:cNvSpPr txBox="1"/>
      </xdr:nvSpPr>
      <xdr:spPr>
        <a:xfrm>
          <a:off x="4582339" y="318872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629884</xdr:colOff>
      <xdr:row>163</xdr:row>
      <xdr:rowOff>68747</xdr:rowOff>
    </xdr:from>
    <xdr:to>
      <xdr:col>14</xdr:col>
      <xdr:colOff>209210</xdr:colOff>
      <xdr:row>165</xdr:row>
      <xdr:rowOff>35219</xdr:rowOff>
    </xdr:to>
    <xdr:sp macro="" textlink="">
      <xdr:nvSpPr>
        <xdr:cNvPr id="87" name="TextBox 86"/>
        <xdr:cNvSpPr txBox="1">
          <a:spLocks/>
        </xdr:cNvSpPr>
      </xdr:nvSpPr>
      <xdr:spPr>
        <a:xfrm>
          <a:off x="6087709" y="318822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14</xdr:col>
      <xdr:colOff>266700</xdr:colOff>
      <xdr:row>161</xdr:row>
      <xdr:rowOff>134596</xdr:rowOff>
    </xdr:from>
    <xdr:to>
      <xdr:col>16</xdr:col>
      <xdr:colOff>168275</xdr:colOff>
      <xdr:row>165</xdr:row>
      <xdr:rowOff>12676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315670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</xdr:row>
      <xdr:rowOff>47625</xdr:rowOff>
    </xdr:from>
    <xdr:to>
      <xdr:col>14</xdr:col>
      <xdr:colOff>349075</xdr:colOff>
      <xdr:row>127</xdr:row>
      <xdr:rowOff>136251</xdr:rowOff>
    </xdr:to>
    <xdr:grpSp>
      <xdr:nvGrpSpPr>
        <xdr:cNvPr id="89" name="Group 88"/>
        <xdr:cNvGrpSpPr/>
      </xdr:nvGrpSpPr>
      <xdr:grpSpPr>
        <a:xfrm>
          <a:off x="9525" y="23396299"/>
          <a:ext cx="8315702" cy="817495"/>
          <a:chOff x="19049" y="4911999"/>
          <a:chExt cx="7026100" cy="830330"/>
        </a:xfrm>
      </xdr:grpSpPr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2" name="Rounded Rectangle 9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3" name="Flowchart: Connector 9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155</xdr:row>
      <xdr:rowOff>76200</xdr:rowOff>
    </xdr:from>
    <xdr:to>
      <xdr:col>14</xdr:col>
      <xdr:colOff>387175</xdr:colOff>
      <xdr:row>159</xdr:row>
      <xdr:rowOff>107676</xdr:rowOff>
    </xdr:to>
    <xdr:grpSp>
      <xdr:nvGrpSpPr>
        <xdr:cNvPr id="98" name="Group 97"/>
        <xdr:cNvGrpSpPr/>
      </xdr:nvGrpSpPr>
      <xdr:grpSpPr>
        <a:xfrm>
          <a:off x="47625" y="29255830"/>
          <a:ext cx="8315702" cy="760346"/>
          <a:chOff x="19049" y="4911999"/>
          <a:chExt cx="7026100" cy="830330"/>
        </a:xfrm>
      </xdr:grpSpPr>
      <xdr:sp macro="" textlink="">
        <xdr:nvSpPr>
          <xdr:cNvPr id="99" name="Rounded Rectangle 9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0" name="Rounded Rectangle 9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1" name="Rounded Rectangle 10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02" name="Flowchart: Connector 10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Flowchart: Connector 10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Flowchart: Connector 10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6" name="Flowchart: Connector 10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186</xdr:row>
      <xdr:rowOff>19050</xdr:rowOff>
    </xdr:from>
    <xdr:to>
      <xdr:col>14</xdr:col>
      <xdr:colOff>377650</xdr:colOff>
      <xdr:row>190</xdr:row>
      <xdr:rowOff>107676</xdr:rowOff>
    </xdr:to>
    <xdr:grpSp>
      <xdr:nvGrpSpPr>
        <xdr:cNvPr id="107" name="Group 106"/>
        <xdr:cNvGrpSpPr/>
      </xdr:nvGrpSpPr>
      <xdr:grpSpPr>
        <a:xfrm>
          <a:off x="38100" y="35236702"/>
          <a:ext cx="8315702" cy="817496"/>
          <a:chOff x="19049" y="4911999"/>
          <a:chExt cx="7026100" cy="830330"/>
        </a:xfrm>
      </xdr:grpSpPr>
      <xdr:sp macro="" textlink="">
        <xdr:nvSpPr>
          <xdr:cNvPr id="108" name="Rounded Rectangle 107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9" name="Rounded Rectangle 108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0" name="Rounded Rectangle 109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11" name="Flowchart: Connector 110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Flowchart: Connector 111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" name="Flowchart: Connector 112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Flowchart: Connector 113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5" name="Flowchart: Connector 114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220</xdr:row>
      <xdr:rowOff>28575</xdr:rowOff>
    </xdr:from>
    <xdr:to>
      <xdr:col>14</xdr:col>
      <xdr:colOff>377650</xdr:colOff>
      <xdr:row>224</xdr:row>
      <xdr:rowOff>60051</xdr:rowOff>
    </xdr:to>
    <xdr:grpSp>
      <xdr:nvGrpSpPr>
        <xdr:cNvPr id="116" name="Group 115"/>
        <xdr:cNvGrpSpPr/>
      </xdr:nvGrpSpPr>
      <xdr:grpSpPr>
        <a:xfrm>
          <a:off x="38100" y="41267684"/>
          <a:ext cx="8315702" cy="760345"/>
          <a:chOff x="19049" y="4911999"/>
          <a:chExt cx="7026100" cy="830330"/>
        </a:xfrm>
      </xdr:grpSpPr>
      <xdr:sp macro="" textlink="">
        <xdr:nvSpPr>
          <xdr:cNvPr id="117" name="Rounded Rectangle 11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8" name="Rounded Rectangle 11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9" name="Rounded Rectangle 11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20" name="Flowchart: Connector 11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Flowchart: Connector 12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Flowchart: Connector 12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3" name="Flowchart: Connector 12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4" name="Flowchart: Connector 12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194</xdr:row>
      <xdr:rowOff>28577</xdr:rowOff>
    </xdr:from>
    <xdr:to>
      <xdr:col>3</xdr:col>
      <xdr:colOff>269185</xdr:colOff>
      <xdr:row>195</xdr:row>
      <xdr:rowOff>176423</xdr:rowOff>
    </xdr:to>
    <xdr:sp macro="" textlink="">
      <xdr:nvSpPr>
        <xdr:cNvPr id="125" name="TextBox 124"/>
        <xdr:cNvSpPr txBox="1"/>
      </xdr:nvSpPr>
      <xdr:spPr>
        <a:xfrm>
          <a:off x="38100" y="377571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0</xdr:col>
      <xdr:colOff>38100</xdr:colOff>
      <xdr:row>196</xdr:row>
      <xdr:rowOff>3735</xdr:rowOff>
    </xdr:from>
    <xdr:to>
      <xdr:col>3</xdr:col>
      <xdr:colOff>269186</xdr:colOff>
      <xdr:row>197</xdr:row>
      <xdr:rowOff>160707</xdr:rowOff>
    </xdr:to>
    <xdr:sp macro="" textlink="">
      <xdr:nvSpPr>
        <xdr:cNvPr id="126" name="TextBox 125"/>
        <xdr:cNvSpPr txBox="1"/>
      </xdr:nvSpPr>
      <xdr:spPr>
        <a:xfrm>
          <a:off x="38100" y="381132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900" baseline="0"/>
            <a:t> </a:t>
          </a:r>
          <a:r>
            <a:rPr lang="fa-IR" sz="1050" baseline="0">
              <a:cs typeface="B Nazanin" panose="00000400000000000000" pitchFamily="2" charset="-78"/>
            </a:rPr>
            <a:t>فیلتر روتاری هوا</a:t>
          </a:r>
          <a:endParaRPr lang="en-US" sz="1050" baseline="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3</xdr:col>
      <xdr:colOff>277464</xdr:colOff>
      <xdr:row>196</xdr:row>
      <xdr:rowOff>3722</xdr:rowOff>
    </xdr:from>
    <xdr:to>
      <xdr:col>7</xdr:col>
      <xdr:colOff>329644</xdr:colOff>
      <xdr:row>197</xdr:row>
      <xdr:rowOff>160694</xdr:rowOff>
    </xdr:to>
    <xdr:sp macro="" textlink="">
      <xdr:nvSpPr>
        <xdr:cNvPr id="127" name="TextBox 126"/>
        <xdr:cNvSpPr txBox="1"/>
      </xdr:nvSpPr>
      <xdr:spPr>
        <a:xfrm>
          <a:off x="1391889" y="381132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fa-IR" sz="1100">
              <a:cs typeface="B Nazanin" panose="00000400000000000000" pitchFamily="2" charset="-78"/>
            </a:rPr>
            <a:t>سیستم محرک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337914</xdr:colOff>
      <xdr:row>194</xdr:row>
      <xdr:rowOff>28575</xdr:rowOff>
    </xdr:from>
    <xdr:to>
      <xdr:col>10</xdr:col>
      <xdr:colOff>219075</xdr:colOff>
      <xdr:row>196</xdr:row>
      <xdr:rowOff>4572</xdr:rowOff>
    </xdr:to>
    <xdr:sp macro="" textlink="">
      <xdr:nvSpPr>
        <xdr:cNvPr id="128" name="TextBox 127"/>
        <xdr:cNvSpPr txBox="1"/>
      </xdr:nvSpPr>
      <xdr:spPr>
        <a:xfrm>
          <a:off x="3185889" y="377571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r>
            <a:rPr lang="fa-IR" sz="1100" baseline="0"/>
            <a:t>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194</xdr:row>
      <xdr:rowOff>28575</xdr:rowOff>
    </xdr:from>
    <xdr:to>
      <xdr:col>7</xdr:col>
      <xdr:colOff>329646</xdr:colOff>
      <xdr:row>196</xdr:row>
      <xdr:rowOff>4572</xdr:rowOff>
    </xdr:to>
    <xdr:sp macro="" textlink="">
      <xdr:nvSpPr>
        <xdr:cNvPr id="129" name="TextBox 128"/>
        <xdr:cNvSpPr txBox="1"/>
      </xdr:nvSpPr>
      <xdr:spPr>
        <a:xfrm>
          <a:off x="1391889" y="377571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/>
            <a:t>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283253</xdr:colOff>
      <xdr:row>194</xdr:row>
      <xdr:rowOff>28575</xdr:rowOff>
    </xdr:from>
    <xdr:to>
      <xdr:col>14</xdr:col>
      <xdr:colOff>219075</xdr:colOff>
      <xdr:row>196</xdr:row>
      <xdr:rowOff>4572</xdr:rowOff>
    </xdr:to>
    <xdr:sp macro="" textlink="">
      <xdr:nvSpPr>
        <xdr:cNvPr id="130" name="TextBox 129"/>
        <xdr:cNvSpPr txBox="1"/>
      </xdr:nvSpPr>
      <xdr:spPr>
        <a:xfrm>
          <a:off x="4588553" y="377571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 sz="1100"/>
        </a:p>
      </xdr:txBody>
    </xdr:sp>
    <xdr:clientData/>
  </xdr:twoCellAnchor>
  <xdr:twoCellAnchor editAs="absolute">
    <xdr:from>
      <xdr:col>7</xdr:col>
      <xdr:colOff>341223</xdr:colOff>
      <xdr:row>195</xdr:row>
      <xdr:rowOff>178483</xdr:rowOff>
    </xdr:from>
    <xdr:to>
      <xdr:col>9</xdr:col>
      <xdr:colOff>278275</xdr:colOff>
      <xdr:row>197</xdr:row>
      <xdr:rowOff>154480</xdr:rowOff>
    </xdr:to>
    <xdr:sp macro="" textlink="">
      <xdr:nvSpPr>
        <xdr:cNvPr id="131" name="TextBox 130"/>
        <xdr:cNvSpPr txBox="1"/>
      </xdr:nvSpPr>
      <xdr:spPr>
        <a:xfrm>
          <a:off x="3189198" y="381070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7 of 7</a:t>
          </a:r>
          <a:endParaRPr lang="en-US" sz="1050"/>
        </a:p>
      </xdr:txBody>
    </xdr:sp>
    <xdr:clientData/>
  </xdr:twoCellAnchor>
  <xdr:twoCellAnchor editAs="absolute">
    <xdr:from>
      <xdr:col>9</xdr:col>
      <xdr:colOff>286564</xdr:colOff>
      <xdr:row>195</xdr:row>
      <xdr:rowOff>178498</xdr:rowOff>
    </xdr:from>
    <xdr:to>
      <xdr:col>12</xdr:col>
      <xdr:colOff>637415</xdr:colOff>
      <xdr:row>197</xdr:row>
      <xdr:rowOff>154495</xdr:rowOff>
    </xdr:to>
    <xdr:sp macro="" textlink="">
      <xdr:nvSpPr>
        <xdr:cNvPr id="132" name="TextBox 131"/>
        <xdr:cNvSpPr txBox="1"/>
      </xdr:nvSpPr>
      <xdr:spPr>
        <a:xfrm>
          <a:off x="4591864" y="381070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639409</xdr:colOff>
      <xdr:row>196</xdr:row>
      <xdr:rowOff>2072</xdr:rowOff>
    </xdr:from>
    <xdr:to>
      <xdr:col>14</xdr:col>
      <xdr:colOff>218735</xdr:colOff>
      <xdr:row>197</xdr:row>
      <xdr:rowOff>149519</xdr:rowOff>
    </xdr:to>
    <xdr:sp macro="" textlink="">
      <xdr:nvSpPr>
        <xdr:cNvPr id="133" name="TextBox 132"/>
        <xdr:cNvSpPr txBox="1">
          <a:spLocks/>
        </xdr:cNvSpPr>
      </xdr:nvSpPr>
      <xdr:spPr>
        <a:xfrm>
          <a:off x="6097234" y="381020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</a:t>
          </a:r>
          <a:r>
            <a:rPr lang="fa-IR" sz="1100"/>
            <a:t>--</a:t>
          </a:r>
          <a:endParaRPr lang="en-US" sz="1100"/>
        </a:p>
      </xdr:txBody>
    </xdr:sp>
    <xdr:clientData/>
  </xdr:twoCellAnchor>
  <xdr:twoCellAnchor editAs="absolute">
    <xdr:from>
      <xdr:col>14</xdr:col>
      <xdr:colOff>276225</xdr:colOff>
      <xdr:row>194</xdr:row>
      <xdr:rowOff>57150</xdr:rowOff>
    </xdr:from>
    <xdr:to>
      <xdr:col>16</xdr:col>
      <xdr:colOff>177800</xdr:colOff>
      <xdr:row>197</xdr:row>
      <xdr:rowOff>126976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37785675"/>
          <a:ext cx="711200" cy="641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18</xdr:row>
      <xdr:rowOff>54249</xdr:rowOff>
    </xdr:from>
    <xdr:to>
      <xdr:col>14</xdr:col>
      <xdr:colOff>349074</xdr:colOff>
      <xdr:row>22</xdr:row>
      <xdr:rowOff>171450</xdr:rowOff>
    </xdr:to>
    <xdr:grpSp>
      <xdr:nvGrpSpPr>
        <xdr:cNvPr id="2" name="Group 1"/>
        <xdr:cNvGrpSpPr/>
      </xdr:nvGrpSpPr>
      <xdr:grpSpPr>
        <a:xfrm>
          <a:off x="9524" y="3826149"/>
          <a:ext cx="77214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231085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231086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900" baseline="0"/>
            <a:t> </a:t>
          </a:r>
          <a:r>
            <a:rPr lang="en-US" sz="1050" baseline="0">
              <a:cs typeface="B Nazanin" panose="00000400000000000000" pitchFamily="2" charset="-78"/>
            </a:rPr>
            <a:t>ARF</a:t>
          </a:r>
        </a:p>
      </xdr:txBody>
    </xdr:sp>
    <xdr:clientData/>
  </xdr:twoCellAnchor>
  <xdr:twoCellAnchor editAs="absolute">
    <xdr:from>
      <xdr:col>3</xdr:col>
      <xdr:colOff>239364</xdr:colOff>
      <xdr:row>1</xdr:row>
      <xdr:rowOff>173926</xdr:rowOff>
    </xdr:from>
    <xdr:to>
      <xdr:col>7</xdr:col>
      <xdr:colOff>186769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>
              <a:cs typeface="B Nazanin" panose="00000400000000000000" pitchFamily="2" charset="-78"/>
            </a:rPr>
            <a:t>Driven Stand</a:t>
          </a:r>
        </a:p>
      </xdr:txBody>
    </xdr:sp>
    <xdr:clientData/>
  </xdr:twoCellAnchor>
  <xdr:twoCellAnchor editAs="absolute">
    <xdr:from>
      <xdr:col>7</xdr:col>
      <xdr:colOff>195039</xdr:colOff>
      <xdr:row>0</xdr:row>
      <xdr:rowOff>8279</xdr:rowOff>
    </xdr:from>
    <xdr:to>
      <xdr:col>10</xdr:col>
      <xdr:colOff>381000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0</xdr:row>
      <xdr:rowOff>8279</xdr:rowOff>
    </xdr:from>
    <xdr:to>
      <xdr:col>7</xdr:col>
      <xdr:colOff>186771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54653</xdr:colOff>
      <xdr:row>0</xdr:row>
      <xdr:rowOff>8279</xdr:rowOff>
    </xdr:from>
    <xdr:to>
      <xdr:col>14</xdr:col>
      <xdr:colOff>180975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BOM-01</a:t>
          </a:r>
          <a:r>
            <a:rPr lang="en-US" sz="1100" baseline="0"/>
            <a:t> 04 00</a:t>
          </a:r>
          <a:endParaRPr lang="en-US" sz="1100"/>
        </a:p>
      </xdr:txBody>
    </xdr:sp>
    <xdr:clientData/>
  </xdr:twoCellAnchor>
  <xdr:twoCellAnchor editAs="absolute">
    <xdr:from>
      <xdr:col>7</xdr:col>
      <xdr:colOff>198348</xdr:colOff>
      <xdr:row>1</xdr:row>
      <xdr:rowOff>167712</xdr:rowOff>
    </xdr:from>
    <xdr:to>
      <xdr:col>10</xdr:col>
      <xdr:colOff>49675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7</a:t>
          </a:r>
          <a:endParaRPr lang="en-US" sz="1050"/>
        </a:p>
      </xdr:txBody>
    </xdr:sp>
    <xdr:clientData/>
  </xdr:twoCellAnchor>
  <xdr:twoCellAnchor editAs="absolute">
    <xdr:from>
      <xdr:col>10</xdr:col>
      <xdr:colOff>57964</xdr:colOff>
      <xdr:row>1</xdr:row>
      <xdr:rowOff>167727</xdr:rowOff>
    </xdr:from>
    <xdr:to>
      <xdr:col>12</xdr:col>
      <xdr:colOff>742190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744184</xdr:colOff>
      <xdr:row>1</xdr:row>
      <xdr:rowOff>162751</xdr:rowOff>
    </xdr:from>
    <xdr:to>
      <xdr:col>14</xdr:col>
      <xdr:colOff>180635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238125</xdr:colOff>
      <xdr:row>0</xdr:row>
      <xdr:rowOff>38100</xdr:rowOff>
    </xdr:from>
    <xdr:to>
      <xdr:col>16</xdr:col>
      <xdr:colOff>168275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59</xdr:row>
      <xdr:rowOff>130449</xdr:rowOff>
    </xdr:from>
    <xdr:to>
      <xdr:col>14</xdr:col>
      <xdr:colOff>358599</xdr:colOff>
      <xdr:row>64</xdr:row>
      <xdr:rowOff>38100</xdr:rowOff>
    </xdr:to>
    <xdr:grpSp>
      <xdr:nvGrpSpPr>
        <xdr:cNvPr id="21" name="Group 20"/>
        <xdr:cNvGrpSpPr/>
      </xdr:nvGrpSpPr>
      <xdr:grpSpPr>
        <a:xfrm>
          <a:off x="19049" y="11303274"/>
          <a:ext cx="77214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35</xdr:row>
      <xdr:rowOff>95252</xdr:rowOff>
    </xdr:from>
    <xdr:to>
      <xdr:col>3</xdr:col>
      <xdr:colOff>269185</xdr:colOff>
      <xdr:row>37</xdr:row>
      <xdr:rowOff>71648</xdr:rowOff>
    </xdr:to>
    <xdr:sp macro="" textlink="">
      <xdr:nvSpPr>
        <xdr:cNvPr id="30" name="TextBox 29"/>
        <xdr:cNvSpPr txBox="1"/>
      </xdr:nvSpPr>
      <xdr:spPr>
        <a:xfrm>
          <a:off x="38100" y="63531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37</xdr:row>
      <xdr:rowOff>79935</xdr:rowOff>
    </xdr:from>
    <xdr:to>
      <xdr:col>3</xdr:col>
      <xdr:colOff>269186</xdr:colOff>
      <xdr:row>40</xdr:row>
      <xdr:rowOff>8307</xdr:rowOff>
    </xdr:to>
    <xdr:sp macro="" textlink="">
      <xdr:nvSpPr>
        <xdr:cNvPr id="31" name="TextBox 30"/>
        <xdr:cNvSpPr txBox="1"/>
      </xdr:nvSpPr>
      <xdr:spPr>
        <a:xfrm>
          <a:off x="38100" y="67188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ARF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37</xdr:row>
      <xdr:rowOff>79922</xdr:rowOff>
    </xdr:from>
    <xdr:to>
      <xdr:col>7</xdr:col>
      <xdr:colOff>224869</xdr:colOff>
      <xdr:row>40</xdr:row>
      <xdr:rowOff>8294</xdr:rowOff>
    </xdr:to>
    <xdr:sp macro="" textlink="">
      <xdr:nvSpPr>
        <xdr:cNvPr id="32" name="TextBox 31"/>
        <xdr:cNvSpPr txBox="1"/>
      </xdr:nvSpPr>
      <xdr:spPr>
        <a:xfrm>
          <a:off x="1391889" y="67188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  <a:r>
            <a:rPr lang="en-US" sz="1100" baseline="0"/>
            <a:t> Stand</a:t>
          </a:r>
          <a:endParaRPr lang="en-US" sz="1100"/>
        </a:p>
      </xdr:txBody>
    </xdr:sp>
    <xdr:clientData/>
  </xdr:twoCellAnchor>
  <xdr:twoCellAnchor editAs="absolute">
    <xdr:from>
      <xdr:col>7</xdr:col>
      <xdr:colOff>233139</xdr:colOff>
      <xdr:row>35</xdr:row>
      <xdr:rowOff>95250</xdr:rowOff>
    </xdr:from>
    <xdr:to>
      <xdr:col>10</xdr:col>
      <xdr:colOff>419100</xdr:colOff>
      <xdr:row>37</xdr:row>
      <xdr:rowOff>71247</xdr:rowOff>
    </xdr:to>
    <xdr:sp macro="" textlink="">
      <xdr:nvSpPr>
        <xdr:cNvPr id="33" name="TextBox 32"/>
        <xdr:cNvSpPr txBox="1"/>
      </xdr:nvSpPr>
      <xdr:spPr>
        <a:xfrm>
          <a:off x="3185889" y="63531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35</xdr:row>
      <xdr:rowOff>95250</xdr:rowOff>
    </xdr:from>
    <xdr:to>
      <xdr:col>7</xdr:col>
      <xdr:colOff>224871</xdr:colOff>
      <xdr:row>37</xdr:row>
      <xdr:rowOff>71247</xdr:rowOff>
    </xdr:to>
    <xdr:sp macro="" textlink="">
      <xdr:nvSpPr>
        <xdr:cNvPr id="34" name="TextBox 33"/>
        <xdr:cNvSpPr txBox="1"/>
      </xdr:nvSpPr>
      <xdr:spPr>
        <a:xfrm>
          <a:off x="1391889" y="63531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92753</xdr:colOff>
      <xdr:row>35</xdr:row>
      <xdr:rowOff>95250</xdr:rowOff>
    </xdr:from>
    <xdr:to>
      <xdr:col>14</xdr:col>
      <xdr:colOff>219075</xdr:colOff>
      <xdr:row>37</xdr:row>
      <xdr:rowOff>71247</xdr:rowOff>
    </xdr:to>
    <xdr:sp macro="" textlink="">
      <xdr:nvSpPr>
        <xdr:cNvPr id="35" name="TextBox 34"/>
        <xdr:cNvSpPr txBox="1"/>
      </xdr:nvSpPr>
      <xdr:spPr>
        <a:xfrm>
          <a:off x="4588553" y="63531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BOM-01 04 00</a:t>
          </a:r>
        </a:p>
      </xdr:txBody>
    </xdr:sp>
    <xdr:clientData/>
  </xdr:twoCellAnchor>
  <xdr:twoCellAnchor editAs="absolute">
    <xdr:from>
      <xdr:col>7</xdr:col>
      <xdr:colOff>236448</xdr:colOff>
      <xdr:row>37</xdr:row>
      <xdr:rowOff>73708</xdr:rowOff>
    </xdr:from>
    <xdr:to>
      <xdr:col>10</xdr:col>
      <xdr:colOff>87775</xdr:colOff>
      <xdr:row>40</xdr:row>
      <xdr:rowOff>2080</xdr:rowOff>
    </xdr:to>
    <xdr:sp macro="" textlink="">
      <xdr:nvSpPr>
        <xdr:cNvPr id="36" name="TextBox 35"/>
        <xdr:cNvSpPr txBox="1"/>
      </xdr:nvSpPr>
      <xdr:spPr>
        <a:xfrm>
          <a:off x="3189198" y="67126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7</a:t>
          </a:r>
          <a:endParaRPr lang="en-US" sz="1050"/>
        </a:p>
      </xdr:txBody>
    </xdr:sp>
    <xdr:clientData/>
  </xdr:twoCellAnchor>
  <xdr:twoCellAnchor editAs="absolute">
    <xdr:from>
      <xdr:col>10</xdr:col>
      <xdr:colOff>96064</xdr:colOff>
      <xdr:row>37</xdr:row>
      <xdr:rowOff>73723</xdr:rowOff>
    </xdr:from>
    <xdr:to>
      <xdr:col>12</xdr:col>
      <xdr:colOff>780290</xdr:colOff>
      <xdr:row>40</xdr:row>
      <xdr:rowOff>2095</xdr:rowOff>
    </xdr:to>
    <xdr:sp macro="" textlink="">
      <xdr:nvSpPr>
        <xdr:cNvPr id="37" name="TextBox 36"/>
        <xdr:cNvSpPr txBox="1"/>
      </xdr:nvSpPr>
      <xdr:spPr>
        <a:xfrm>
          <a:off x="4591864" y="67126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782284</xdr:colOff>
      <xdr:row>37</xdr:row>
      <xdr:rowOff>68747</xdr:rowOff>
    </xdr:from>
    <xdr:to>
      <xdr:col>14</xdr:col>
      <xdr:colOff>218735</xdr:colOff>
      <xdr:row>39</xdr:row>
      <xdr:rowOff>25694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076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276225</xdr:colOff>
      <xdr:row>35</xdr:row>
      <xdr:rowOff>125071</xdr:rowOff>
    </xdr:from>
    <xdr:to>
      <xdr:col>16</xdr:col>
      <xdr:colOff>206375</xdr:colOff>
      <xdr:row>39</xdr:row>
      <xdr:rowOff>3151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3829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87</xdr:row>
      <xdr:rowOff>25674</xdr:rowOff>
    </xdr:from>
    <xdr:to>
      <xdr:col>14</xdr:col>
      <xdr:colOff>406224</xdr:colOff>
      <xdr:row>91</xdr:row>
      <xdr:rowOff>114300</xdr:rowOff>
    </xdr:to>
    <xdr:grpSp>
      <xdr:nvGrpSpPr>
        <xdr:cNvPr id="40" name="Group 39"/>
        <xdr:cNvGrpSpPr/>
      </xdr:nvGrpSpPr>
      <xdr:grpSpPr>
        <a:xfrm>
          <a:off x="66674" y="16913499"/>
          <a:ext cx="7692850" cy="85062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66</xdr:row>
      <xdr:rowOff>38102</xdr:rowOff>
    </xdr:from>
    <xdr:to>
      <xdr:col>3</xdr:col>
      <xdr:colOff>259660</xdr:colOff>
      <xdr:row>68</xdr:row>
      <xdr:rowOff>14498</xdr:rowOff>
    </xdr:to>
    <xdr:sp macro="" textlink="">
      <xdr:nvSpPr>
        <xdr:cNvPr id="49" name="TextBox 48"/>
        <xdr:cNvSpPr txBox="1"/>
      </xdr:nvSpPr>
      <xdr:spPr>
        <a:xfrm>
          <a:off x="28575" y="125444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28575</xdr:colOff>
      <xdr:row>68</xdr:row>
      <xdr:rowOff>22785</xdr:rowOff>
    </xdr:from>
    <xdr:to>
      <xdr:col>3</xdr:col>
      <xdr:colOff>259661</xdr:colOff>
      <xdr:row>69</xdr:row>
      <xdr:rowOff>170232</xdr:rowOff>
    </xdr:to>
    <xdr:sp macro="" textlink="">
      <xdr:nvSpPr>
        <xdr:cNvPr id="50" name="TextBox 49"/>
        <xdr:cNvSpPr txBox="1"/>
      </xdr:nvSpPr>
      <xdr:spPr>
        <a:xfrm>
          <a:off x="28575" y="129101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ARF</a:t>
          </a:r>
          <a:endParaRPr lang="en-US" sz="1100"/>
        </a:p>
      </xdr:txBody>
    </xdr:sp>
    <xdr:clientData/>
  </xdr:twoCellAnchor>
  <xdr:twoCellAnchor editAs="absolute">
    <xdr:from>
      <xdr:col>0</xdr:col>
      <xdr:colOff>28575</xdr:colOff>
      <xdr:row>97</xdr:row>
      <xdr:rowOff>28577</xdr:rowOff>
    </xdr:from>
    <xdr:to>
      <xdr:col>3</xdr:col>
      <xdr:colOff>259660</xdr:colOff>
      <xdr:row>98</xdr:row>
      <xdr:rowOff>185948</xdr:rowOff>
    </xdr:to>
    <xdr:sp macro="" textlink="">
      <xdr:nvSpPr>
        <xdr:cNvPr id="59" name="TextBox 58"/>
        <xdr:cNvSpPr txBox="1"/>
      </xdr:nvSpPr>
      <xdr:spPr>
        <a:xfrm>
          <a:off x="28575" y="188214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28575</xdr:colOff>
      <xdr:row>99</xdr:row>
      <xdr:rowOff>3735</xdr:rowOff>
    </xdr:from>
    <xdr:to>
      <xdr:col>3</xdr:col>
      <xdr:colOff>259661</xdr:colOff>
      <xdr:row>100</xdr:row>
      <xdr:rowOff>160707</xdr:rowOff>
    </xdr:to>
    <xdr:sp macro="" textlink="">
      <xdr:nvSpPr>
        <xdr:cNvPr id="60" name="TextBox 59"/>
        <xdr:cNvSpPr txBox="1"/>
      </xdr:nvSpPr>
      <xdr:spPr>
        <a:xfrm>
          <a:off x="28575" y="191775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ARF</a:t>
          </a:r>
        </a:p>
      </xdr:txBody>
    </xdr:sp>
    <xdr:clientData/>
  </xdr:twoCellAnchor>
  <xdr:twoCellAnchor editAs="absolute">
    <xdr:from>
      <xdr:col>3</xdr:col>
      <xdr:colOff>267939</xdr:colOff>
      <xdr:row>99</xdr:row>
      <xdr:rowOff>3722</xdr:rowOff>
    </xdr:from>
    <xdr:to>
      <xdr:col>7</xdr:col>
      <xdr:colOff>215344</xdr:colOff>
      <xdr:row>100</xdr:row>
      <xdr:rowOff>160694</xdr:rowOff>
    </xdr:to>
    <xdr:sp macro="" textlink="">
      <xdr:nvSpPr>
        <xdr:cNvPr id="61" name="TextBox 60"/>
        <xdr:cNvSpPr txBox="1"/>
      </xdr:nvSpPr>
      <xdr:spPr>
        <a:xfrm>
          <a:off x="1382364" y="191775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Drum</a:t>
          </a:r>
        </a:p>
      </xdr:txBody>
    </xdr:sp>
    <xdr:clientData/>
  </xdr:twoCellAnchor>
  <xdr:twoCellAnchor editAs="absolute">
    <xdr:from>
      <xdr:col>7</xdr:col>
      <xdr:colOff>223614</xdr:colOff>
      <xdr:row>97</xdr:row>
      <xdr:rowOff>28575</xdr:rowOff>
    </xdr:from>
    <xdr:to>
      <xdr:col>10</xdr:col>
      <xdr:colOff>409575</xdr:colOff>
      <xdr:row>98</xdr:row>
      <xdr:rowOff>185547</xdr:rowOff>
    </xdr:to>
    <xdr:sp macro="" textlink="">
      <xdr:nvSpPr>
        <xdr:cNvPr id="62" name="TextBox 61"/>
        <xdr:cNvSpPr txBox="1"/>
      </xdr:nvSpPr>
      <xdr:spPr>
        <a:xfrm>
          <a:off x="3176364" y="188214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267939</xdr:colOff>
      <xdr:row>97</xdr:row>
      <xdr:rowOff>28575</xdr:rowOff>
    </xdr:from>
    <xdr:to>
      <xdr:col>7</xdr:col>
      <xdr:colOff>215346</xdr:colOff>
      <xdr:row>98</xdr:row>
      <xdr:rowOff>185547</xdr:rowOff>
    </xdr:to>
    <xdr:sp macro="" textlink="">
      <xdr:nvSpPr>
        <xdr:cNvPr id="63" name="TextBox 62"/>
        <xdr:cNvSpPr txBox="1"/>
      </xdr:nvSpPr>
      <xdr:spPr>
        <a:xfrm>
          <a:off x="1382364" y="188214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83228</xdr:colOff>
      <xdr:row>97</xdr:row>
      <xdr:rowOff>28575</xdr:rowOff>
    </xdr:from>
    <xdr:to>
      <xdr:col>14</xdr:col>
      <xdr:colOff>209550</xdr:colOff>
      <xdr:row>98</xdr:row>
      <xdr:rowOff>185547</xdr:rowOff>
    </xdr:to>
    <xdr:sp macro="" textlink="">
      <xdr:nvSpPr>
        <xdr:cNvPr id="64" name="TextBox 63"/>
        <xdr:cNvSpPr txBox="1"/>
      </xdr:nvSpPr>
      <xdr:spPr>
        <a:xfrm>
          <a:off x="4579028" y="188214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226923</xdr:colOff>
      <xdr:row>98</xdr:row>
      <xdr:rowOff>188008</xdr:rowOff>
    </xdr:from>
    <xdr:to>
      <xdr:col>10</xdr:col>
      <xdr:colOff>78250</xdr:colOff>
      <xdr:row>100</xdr:row>
      <xdr:rowOff>154480</xdr:rowOff>
    </xdr:to>
    <xdr:sp macro="" textlink="">
      <xdr:nvSpPr>
        <xdr:cNvPr id="65" name="TextBox 64"/>
        <xdr:cNvSpPr txBox="1"/>
      </xdr:nvSpPr>
      <xdr:spPr>
        <a:xfrm>
          <a:off x="3179673" y="191713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7</a:t>
          </a:r>
          <a:endParaRPr lang="en-US" sz="1050"/>
        </a:p>
      </xdr:txBody>
    </xdr:sp>
    <xdr:clientData/>
  </xdr:twoCellAnchor>
  <xdr:twoCellAnchor editAs="absolute">
    <xdr:from>
      <xdr:col>10</xdr:col>
      <xdr:colOff>86539</xdr:colOff>
      <xdr:row>98</xdr:row>
      <xdr:rowOff>188023</xdr:rowOff>
    </xdr:from>
    <xdr:to>
      <xdr:col>12</xdr:col>
      <xdr:colOff>770765</xdr:colOff>
      <xdr:row>100</xdr:row>
      <xdr:rowOff>154495</xdr:rowOff>
    </xdr:to>
    <xdr:sp macro="" textlink="">
      <xdr:nvSpPr>
        <xdr:cNvPr id="66" name="TextBox 65"/>
        <xdr:cNvSpPr txBox="1"/>
      </xdr:nvSpPr>
      <xdr:spPr>
        <a:xfrm>
          <a:off x="4582339" y="191713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772759</xdr:colOff>
      <xdr:row>98</xdr:row>
      <xdr:rowOff>183047</xdr:rowOff>
    </xdr:from>
    <xdr:to>
      <xdr:col>14</xdr:col>
      <xdr:colOff>209210</xdr:colOff>
      <xdr:row>100</xdr:row>
      <xdr:rowOff>149519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87709" y="191663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238125</xdr:colOff>
      <xdr:row>97</xdr:row>
      <xdr:rowOff>96496</xdr:rowOff>
    </xdr:from>
    <xdr:to>
      <xdr:col>16</xdr:col>
      <xdr:colOff>168275</xdr:colOff>
      <xdr:row>100</xdr:row>
      <xdr:rowOff>165076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88893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128</xdr:row>
      <xdr:rowOff>47627</xdr:rowOff>
    </xdr:from>
    <xdr:to>
      <xdr:col>3</xdr:col>
      <xdr:colOff>269185</xdr:colOff>
      <xdr:row>130</xdr:row>
      <xdr:rowOff>14498</xdr:rowOff>
    </xdr:to>
    <xdr:sp macro="" textlink="">
      <xdr:nvSpPr>
        <xdr:cNvPr id="69" name="TextBox 68"/>
        <xdr:cNvSpPr txBox="1"/>
      </xdr:nvSpPr>
      <xdr:spPr>
        <a:xfrm>
          <a:off x="38100" y="250698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130</xdr:row>
      <xdr:rowOff>22785</xdr:rowOff>
    </xdr:from>
    <xdr:to>
      <xdr:col>3</xdr:col>
      <xdr:colOff>269186</xdr:colOff>
      <xdr:row>131</xdr:row>
      <xdr:rowOff>179757</xdr:rowOff>
    </xdr:to>
    <xdr:sp macro="" textlink="">
      <xdr:nvSpPr>
        <xdr:cNvPr id="70" name="TextBox 69"/>
        <xdr:cNvSpPr txBox="1"/>
      </xdr:nvSpPr>
      <xdr:spPr>
        <a:xfrm>
          <a:off x="38100" y="254259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Product:</a:t>
          </a:r>
          <a:r>
            <a:rPr lang="en-US" sz="1100" baseline="0"/>
            <a:t> ARF</a:t>
          </a:r>
        </a:p>
      </xdr:txBody>
    </xdr:sp>
    <xdr:clientData/>
  </xdr:twoCellAnchor>
  <xdr:twoCellAnchor editAs="absolute">
    <xdr:from>
      <xdr:col>3</xdr:col>
      <xdr:colOff>277464</xdr:colOff>
      <xdr:row>130</xdr:row>
      <xdr:rowOff>22772</xdr:rowOff>
    </xdr:from>
    <xdr:to>
      <xdr:col>7</xdr:col>
      <xdr:colOff>224869</xdr:colOff>
      <xdr:row>131</xdr:row>
      <xdr:rowOff>179744</xdr:rowOff>
    </xdr:to>
    <xdr:sp macro="" textlink="">
      <xdr:nvSpPr>
        <xdr:cNvPr id="71" name="TextBox 70"/>
        <xdr:cNvSpPr txBox="1"/>
      </xdr:nvSpPr>
      <xdr:spPr>
        <a:xfrm>
          <a:off x="1391889" y="254259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Drum</a:t>
          </a:r>
        </a:p>
      </xdr:txBody>
    </xdr:sp>
    <xdr:clientData/>
  </xdr:twoCellAnchor>
  <xdr:twoCellAnchor editAs="absolute">
    <xdr:from>
      <xdr:col>7</xdr:col>
      <xdr:colOff>233139</xdr:colOff>
      <xdr:row>128</xdr:row>
      <xdr:rowOff>47625</xdr:rowOff>
    </xdr:from>
    <xdr:to>
      <xdr:col>10</xdr:col>
      <xdr:colOff>419100</xdr:colOff>
      <xdr:row>130</xdr:row>
      <xdr:rowOff>14097</xdr:rowOff>
    </xdr:to>
    <xdr:sp macro="" textlink="">
      <xdr:nvSpPr>
        <xdr:cNvPr id="72" name="TextBox 71"/>
        <xdr:cNvSpPr txBox="1"/>
      </xdr:nvSpPr>
      <xdr:spPr>
        <a:xfrm>
          <a:off x="3185889" y="250698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128</xdr:row>
      <xdr:rowOff>47625</xdr:rowOff>
    </xdr:from>
    <xdr:to>
      <xdr:col>7</xdr:col>
      <xdr:colOff>224871</xdr:colOff>
      <xdr:row>130</xdr:row>
      <xdr:rowOff>14097</xdr:rowOff>
    </xdr:to>
    <xdr:sp macro="" textlink="">
      <xdr:nvSpPr>
        <xdr:cNvPr id="73" name="TextBox 72"/>
        <xdr:cNvSpPr txBox="1"/>
      </xdr:nvSpPr>
      <xdr:spPr>
        <a:xfrm>
          <a:off x="1391889" y="250698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92753</xdr:colOff>
      <xdr:row>128</xdr:row>
      <xdr:rowOff>47625</xdr:rowOff>
    </xdr:from>
    <xdr:to>
      <xdr:col>14</xdr:col>
      <xdr:colOff>219075</xdr:colOff>
      <xdr:row>130</xdr:row>
      <xdr:rowOff>14097</xdr:rowOff>
    </xdr:to>
    <xdr:sp macro="" textlink="">
      <xdr:nvSpPr>
        <xdr:cNvPr id="74" name="TextBox 73"/>
        <xdr:cNvSpPr txBox="1"/>
      </xdr:nvSpPr>
      <xdr:spPr>
        <a:xfrm>
          <a:off x="4588553" y="250698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236448</xdr:colOff>
      <xdr:row>130</xdr:row>
      <xdr:rowOff>16558</xdr:rowOff>
    </xdr:from>
    <xdr:to>
      <xdr:col>10</xdr:col>
      <xdr:colOff>87775</xdr:colOff>
      <xdr:row>131</xdr:row>
      <xdr:rowOff>173530</xdr:rowOff>
    </xdr:to>
    <xdr:sp macro="" textlink="">
      <xdr:nvSpPr>
        <xdr:cNvPr id="75" name="TextBox 74"/>
        <xdr:cNvSpPr txBox="1"/>
      </xdr:nvSpPr>
      <xdr:spPr>
        <a:xfrm>
          <a:off x="3189198" y="254197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7</a:t>
          </a:r>
          <a:endParaRPr lang="en-US" sz="1050"/>
        </a:p>
      </xdr:txBody>
    </xdr:sp>
    <xdr:clientData/>
  </xdr:twoCellAnchor>
  <xdr:twoCellAnchor editAs="absolute">
    <xdr:from>
      <xdr:col>10</xdr:col>
      <xdr:colOff>96064</xdr:colOff>
      <xdr:row>130</xdr:row>
      <xdr:rowOff>16573</xdr:rowOff>
    </xdr:from>
    <xdr:to>
      <xdr:col>12</xdr:col>
      <xdr:colOff>780290</xdr:colOff>
      <xdr:row>131</xdr:row>
      <xdr:rowOff>173545</xdr:rowOff>
    </xdr:to>
    <xdr:sp macro="" textlink="">
      <xdr:nvSpPr>
        <xdr:cNvPr id="76" name="TextBox 75"/>
        <xdr:cNvSpPr txBox="1"/>
      </xdr:nvSpPr>
      <xdr:spPr>
        <a:xfrm>
          <a:off x="4591864" y="254197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782284</xdr:colOff>
      <xdr:row>130</xdr:row>
      <xdr:rowOff>11597</xdr:rowOff>
    </xdr:from>
    <xdr:to>
      <xdr:col>14</xdr:col>
      <xdr:colOff>218735</xdr:colOff>
      <xdr:row>131</xdr:row>
      <xdr:rowOff>168569</xdr:rowOff>
    </xdr:to>
    <xdr:sp macro="" textlink="">
      <xdr:nvSpPr>
        <xdr:cNvPr id="77" name="TextBox 76"/>
        <xdr:cNvSpPr txBox="1">
          <a:spLocks/>
        </xdr:cNvSpPr>
      </xdr:nvSpPr>
      <xdr:spPr>
        <a:xfrm>
          <a:off x="6097234" y="254147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276225</xdr:colOff>
      <xdr:row>128</xdr:row>
      <xdr:rowOff>77446</xdr:rowOff>
    </xdr:from>
    <xdr:to>
      <xdr:col>16</xdr:col>
      <xdr:colOff>206375</xdr:colOff>
      <xdr:row>131</xdr:row>
      <xdr:rowOff>146026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250996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160</xdr:row>
      <xdr:rowOff>171452</xdr:rowOff>
    </xdr:from>
    <xdr:to>
      <xdr:col>3</xdr:col>
      <xdr:colOff>250135</xdr:colOff>
      <xdr:row>162</xdr:row>
      <xdr:rowOff>138323</xdr:rowOff>
    </xdr:to>
    <xdr:sp macro="" textlink="">
      <xdr:nvSpPr>
        <xdr:cNvPr id="79" name="TextBox 78"/>
        <xdr:cNvSpPr txBox="1"/>
      </xdr:nvSpPr>
      <xdr:spPr>
        <a:xfrm>
          <a:off x="19050" y="31308677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19050</xdr:colOff>
      <xdr:row>162</xdr:row>
      <xdr:rowOff>146610</xdr:rowOff>
    </xdr:from>
    <xdr:to>
      <xdr:col>3</xdr:col>
      <xdr:colOff>250136</xdr:colOff>
      <xdr:row>164</xdr:row>
      <xdr:rowOff>113082</xdr:rowOff>
    </xdr:to>
    <xdr:sp macro="" textlink="">
      <xdr:nvSpPr>
        <xdr:cNvPr id="80" name="TextBox 79"/>
        <xdr:cNvSpPr txBox="1"/>
      </xdr:nvSpPr>
      <xdr:spPr>
        <a:xfrm>
          <a:off x="19050" y="31664835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ARF</a:t>
          </a:r>
        </a:p>
      </xdr:txBody>
    </xdr:sp>
    <xdr:clientData/>
  </xdr:twoCellAnchor>
  <xdr:twoCellAnchor editAs="absolute">
    <xdr:from>
      <xdr:col>3</xdr:col>
      <xdr:colOff>258414</xdr:colOff>
      <xdr:row>162</xdr:row>
      <xdr:rowOff>146597</xdr:rowOff>
    </xdr:from>
    <xdr:to>
      <xdr:col>7</xdr:col>
      <xdr:colOff>205819</xdr:colOff>
      <xdr:row>164</xdr:row>
      <xdr:rowOff>113069</xdr:rowOff>
    </xdr:to>
    <xdr:sp macro="" textlink="">
      <xdr:nvSpPr>
        <xdr:cNvPr id="81" name="TextBox 80"/>
        <xdr:cNvSpPr txBox="1"/>
      </xdr:nvSpPr>
      <xdr:spPr>
        <a:xfrm>
          <a:off x="1372839" y="31664822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Frame</a:t>
          </a:r>
        </a:p>
      </xdr:txBody>
    </xdr:sp>
    <xdr:clientData/>
  </xdr:twoCellAnchor>
  <xdr:twoCellAnchor editAs="absolute">
    <xdr:from>
      <xdr:col>7</xdr:col>
      <xdr:colOff>214089</xdr:colOff>
      <xdr:row>160</xdr:row>
      <xdr:rowOff>171450</xdr:rowOff>
    </xdr:from>
    <xdr:to>
      <xdr:col>10</xdr:col>
      <xdr:colOff>400050</xdr:colOff>
      <xdr:row>162</xdr:row>
      <xdr:rowOff>137922</xdr:rowOff>
    </xdr:to>
    <xdr:sp macro="" textlink="">
      <xdr:nvSpPr>
        <xdr:cNvPr id="82" name="TextBox 81"/>
        <xdr:cNvSpPr txBox="1"/>
      </xdr:nvSpPr>
      <xdr:spPr>
        <a:xfrm>
          <a:off x="3166839" y="31308675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258414</xdr:colOff>
      <xdr:row>160</xdr:row>
      <xdr:rowOff>171450</xdr:rowOff>
    </xdr:from>
    <xdr:to>
      <xdr:col>7</xdr:col>
      <xdr:colOff>205821</xdr:colOff>
      <xdr:row>162</xdr:row>
      <xdr:rowOff>137922</xdr:rowOff>
    </xdr:to>
    <xdr:sp macro="" textlink="">
      <xdr:nvSpPr>
        <xdr:cNvPr id="83" name="TextBox 82"/>
        <xdr:cNvSpPr txBox="1"/>
      </xdr:nvSpPr>
      <xdr:spPr>
        <a:xfrm>
          <a:off x="1372839" y="31308675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73703</xdr:colOff>
      <xdr:row>160</xdr:row>
      <xdr:rowOff>171450</xdr:rowOff>
    </xdr:from>
    <xdr:to>
      <xdr:col>14</xdr:col>
      <xdr:colOff>200025</xdr:colOff>
      <xdr:row>162</xdr:row>
      <xdr:rowOff>137922</xdr:rowOff>
    </xdr:to>
    <xdr:sp macro="" textlink="">
      <xdr:nvSpPr>
        <xdr:cNvPr id="84" name="TextBox 83"/>
        <xdr:cNvSpPr txBox="1"/>
      </xdr:nvSpPr>
      <xdr:spPr>
        <a:xfrm>
          <a:off x="4569503" y="31308675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217398</xdr:colOff>
      <xdr:row>162</xdr:row>
      <xdr:rowOff>140383</xdr:rowOff>
    </xdr:from>
    <xdr:to>
      <xdr:col>10</xdr:col>
      <xdr:colOff>68725</xdr:colOff>
      <xdr:row>164</xdr:row>
      <xdr:rowOff>106855</xdr:rowOff>
    </xdr:to>
    <xdr:sp macro="" textlink="">
      <xdr:nvSpPr>
        <xdr:cNvPr id="85" name="TextBox 84"/>
        <xdr:cNvSpPr txBox="1"/>
      </xdr:nvSpPr>
      <xdr:spPr>
        <a:xfrm>
          <a:off x="3170148" y="31658608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6 of 7</a:t>
          </a:r>
          <a:endParaRPr lang="en-US" sz="1050"/>
        </a:p>
      </xdr:txBody>
    </xdr:sp>
    <xdr:clientData/>
  </xdr:twoCellAnchor>
  <xdr:twoCellAnchor editAs="absolute">
    <xdr:from>
      <xdr:col>10</xdr:col>
      <xdr:colOff>77014</xdr:colOff>
      <xdr:row>162</xdr:row>
      <xdr:rowOff>140398</xdr:rowOff>
    </xdr:from>
    <xdr:to>
      <xdr:col>12</xdr:col>
      <xdr:colOff>761240</xdr:colOff>
      <xdr:row>164</xdr:row>
      <xdr:rowOff>106870</xdr:rowOff>
    </xdr:to>
    <xdr:sp macro="" textlink="">
      <xdr:nvSpPr>
        <xdr:cNvPr id="86" name="TextBox 85"/>
        <xdr:cNvSpPr txBox="1"/>
      </xdr:nvSpPr>
      <xdr:spPr>
        <a:xfrm>
          <a:off x="4572814" y="31658623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763234</xdr:colOff>
      <xdr:row>162</xdr:row>
      <xdr:rowOff>135422</xdr:rowOff>
    </xdr:from>
    <xdr:to>
      <xdr:col>14</xdr:col>
      <xdr:colOff>199685</xdr:colOff>
      <xdr:row>164</xdr:row>
      <xdr:rowOff>101894</xdr:rowOff>
    </xdr:to>
    <xdr:sp macro="" textlink="">
      <xdr:nvSpPr>
        <xdr:cNvPr id="87" name="TextBox 86"/>
        <xdr:cNvSpPr txBox="1">
          <a:spLocks/>
        </xdr:cNvSpPr>
      </xdr:nvSpPr>
      <xdr:spPr>
        <a:xfrm>
          <a:off x="6078184" y="3165364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257175</xdr:colOff>
      <xdr:row>161</xdr:row>
      <xdr:rowOff>10771</xdr:rowOff>
    </xdr:from>
    <xdr:to>
      <xdr:col>16</xdr:col>
      <xdr:colOff>187325</xdr:colOff>
      <xdr:row>164</xdr:row>
      <xdr:rowOff>79351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313384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123</xdr:row>
      <xdr:rowOff>57150</xdr:rowOff>
    </xdr:from>
    <xdr:to>
      <xdr:col>14</xdr:col>
      <xdr:colOff>406225</xdr:colOff>
      <xdr:row>127</xdr:row>
      <xdr:rowOff>145776</xdr:rowOff>
    </xdr:to>
    <xdr:grpSp>
      <xdr:nvGrpSpPr>
        <xdr:cNvPr id="89" name="Group 88"/>
        <xdr:cNvGrpSpPr/>
      </xdr:nvGrpSpPr>
      <xdr:grpSpPr>
        <a:xfrm>
          <a:off x="66675" y="24126825"/>
          <a:ext cx="7692850" cy="850626"/>
          <a:chOff x="19049" y="4911999"/>
          <a:chExt cx="7026100" cy="830330"/>
        </a:xfrm>
      </xdr:grpSpPr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2" name="Rounded Rectangle 9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3" name="Flowchart: Connector 9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154</xdr:row>
      <xdr:rowOff>76200</xdr:rowOff>
    </xdr:from>
    <xdr:to>
      <xdr:col>14</xdr:col>
      <xdr:colOff>387175</xdr:colOff>
      <xdr:row>158</xdr:row>
      <xdr:rowOff>107676</xdr:rowOff>
    </xdr:to>
    <xdr:grpSp>
      <xdr:nvGrpSpPr>
        <xdr:cNvPr id="98" name="Group 97"/>
        <xdr:cNvGrpSpPr/>
      </xdr:nvGrpSpPr>
      <xdr:grpSpPr>
        <a:xfrm>
          <a:off x="47625" y="30070425"/>
          <a:ext cx="7711900" cy="793476"/>
          <a:chOff x="19049" y="4911999"/>
          <a:chExt cx="7026100" cy="830330"/>
        </a:xfrm>
      </xdr:grpSpPr>
      <xdr:sp macro="" textlink="">
        <xdr:nvSpPr>
          <xdr:cNvPr id="99" name="Rounded Rectangle 9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0" name="Rounded Rectangle 9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1" name="Rounded Rectangle 10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02" name="Flowchart: Connector 10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Flowchart: Connector 10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Flowchart: Connector 10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6" name="Flowchart: Connector 10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184</xdr:row>
      <xdr:rowOff>19050</xdr:rowOff>
    </xdr:from>
    <xdr:to>
      <xdr:col>14</xdr:col>
      <xdr:colOff>396700</xdr:colOff>
      <xdr:row>188</xdr:row>
      <xdr:rowOff>107676</xdr:rowOff>
    </xdr:to>
    <xdr:grpSp>
      <xdr:nvGrpSpPr>
        <xdr:cNvPr id="107" name="Group 106"/>
        <xdr:cNvGrpSpPr/>
      </xdr:nvGrpSpPr>
      <xdr:grpSpPr>
        <a:xfrm>
          <a:off x="57150" y="36147375"/>
          <a:ext cx="7702375" cy="850626"/>
          <a:chOff x="19049" y="4911999"/>
          <a:chExt cx="7026100" cy="830330"/>
        </a:xfrm>
      </xdr:grpSpPr>
      <xdr:sp macro="" textlink="">
        <xdr:nvSpPr>
          <xdr:cNvPr id="108" name="Rounded Rectangle 107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09" name="Rounded Rectangle 108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0" name="Rounded Rectangle 109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11" name="Flowchart: Connector 110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2" name="Flowchart: Connector 111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3" name="Flowchart: Connector 112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Flowchart: Connector 113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5" name="Flowchart: Connector 114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66675</xdr:colOff>
      <xdr:row>216</xdr:row>
      <xdr:rowOff>104775</xdr:rowOff>
    </xdr:from>
    <xdr:to>
      <xdr:col>14</xdr:col>
      <xdr:colOff>406225</xdr:colOff>
      <xdr:row>220</xdr:row>
      <xdr:rowOff>136251</xdr:rowOff>
    </xdr:to>
    <xdr:grpSp>
      <xdr:nvGrpSpPr>
        <xdr:cNvPr id="116" name="Group 115"/>
        <xdr:cNvGrpSpPr/>
      </xdr:nvGrpSpPr>
      <xdr:grpSpPr>
        <a:xfrm>
          <a:off x="66675" y="42557700"/>
          <a:ext cx="7692850" cy="793476"/>
          <a:chOff x="19049" y="4911999"/>
          <a:chExt cx="7026100" cy="830330"/>
        </a:xfrm>
      </xdr:grpSpPr>
      <xdr:sp macro="" textlink="">
        <xdr:nvSpPr>
          <xdr:cNvPr id="117" name="Rounded Rectangle 11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8" name="Rounded Rectangle 11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19" name="Rounded Rectangle 11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20" name="Flowchart: Connector 11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Flowchart: Connector 12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2" name="Flowchart: Connector 12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3" name="Flowchart: Connector 12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4" name="Flowchart: Connector 12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47625</xdr:colOff>
      <xdr:row>191</xdr:row>
      <xdr:rowOff>180977</xdr:rowOff>
    </xdr:from>
    <xdr:to>
      <xdr:col>3</xdr:col>
      <xdr:colOff>278710</xdr:colOff>
      <xdr:row>193</xdr:row>
      <xdr:rowOff>147848</xdr:rowOff>
    </xdr:to>
    <xdr:sp macro="" textlink="">
      <xdr:nvSpPr>
        <xdr:cNvPr id="125" name="TextBox 124"/>
        <xdr:cNvSpPr txBox="1"/>
      </xdr:nvSpPr>
      <xdr:spPr>
        <a:xfrm>
          <a:off x="47625" y="37642802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47625</xdr:colOff>
      <xdr:row>193</xdr:row>
      <xdr:rowOff>156135</xdr:rowOff>
    </xdr:from>
    <xdr:to>
      <xdr:col>3</xdr:col>
      <xdr:colOff>278711</xdr:colOff>
      <xdr:row>195</xdr:row>
      <xdr:rowOff>122607</xdr:rowOff>
    </xdr:to>
    <xdr:sp macro="" textlink="">
      <xdr:nvSpPr>
        <xdr:cNvPr id="126" name="TextBox 125"/>
        <xdr:cNvSpPr txBox="1"/>
      </xdr:nvSpPr>
      <xdr:spPr>
        <a:xfrm>
          <a:off x="47625" y="37998960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ARF</a:t>
          </a:r>
        </a:p>
      </xdr:txBody>
    </xdr:sp>
    <xdr:clientData/>
  </xdr:twoCellAnchor>
  <xdr:twoCellAnchor editAs="absolute">
    <xdr:from>
      <xdr:col>3</xdr:col>
      <xdr:colOff>286989</xdr:colOff>
      <xdr:row>193</xdr:row>
      <xdr:rowOff>156122</xdr:rowOff>
    </xdr:from>
    <xdr:to>
      <xdr:col>7</xdr:col>
      <xdr:colOff>234394</xdr:colOff>
      <xdr:row>195</xdr:row>
      <xdr:rowOff>122594</xdr:rowOff>
    </xdr:to>
    <xdr:sp macro="" textlink="">
      <xdr:nvSpPr>
        <xdr:cNvPr id="127" name="TextBox 126"/>
        <xdr:cNvSpPr txBox="1"/>
      </xdr:nvSpPr>
      <xdr:spPr>
        <a:xfrm>
          <a:off x="1401414" y="37998947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7</xdr:col>
      <xdr:colOff>242664</xdr:colOff>
      <xdr:row>191</xdr:row>
      <xdr:rowOff>180975</xdr:rowOff>
    </xdr:from>
    <xdr:to>
      <xdr:col>11</xdr:col>
      <xdr:colOff>0</xdr:colOff>
      <xdr:row>193</xdr:row>
      <xdr:rowOff>147447</xdr:rowOff>
    </xdr:to>
    <xdr:sp macro="" textlink="">
      <xdr:nvSpPr>
        <xdr:cNvPr id="128" name="TextBox 127"/>
        <xdr:cNvSpPr txBox="1"/>
      </xdr:nvSpPr>
      <xdr:spPr>
        <a:xfrm>
          <a:off x="3195414" y="37642800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286989</xdr:colOff>
      <xdr:row>191</xdr:row>
      <xdr:rowOff>180975</xdr:rowOff>
    </xdr:from>
    <xdr:to>
      <xdr:col>7</xdr:col>
      <xdr:colOff>234396</xdr:colOff>
      <xdr:row>193</xdr:row>
      <xdr:rowOff>147447</xdr:rowOff>
    </xdr:to>
    <xdr:sp macro="" textlink="">
      <xdr:nvSpPr>
        <xdr:cNvPr id="129" name="TextBox 128"/>
        <xdr:cNvSpPr txBox="1"/>
      </xdr:nvSpPr>
      <xdr:spPr>
        <a:xfrm>
          <a:off x="1401414" y="37642800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102278</xdr:colOff>
      <xdr:row>191</xdr:row>
      <xdr:rowOff>180975</xdr:rowOff>
    </xdr:from>
    <xdr:to>
      <xdr:col>14</xdr:col>
      <xdr:colOff>228600</xdr:colOff>
      <xdr:row>193</xdr:row>
      <xdr:rowOff>147447</xdr:rowOff>
    </xdr:to>
    <xdr:sp macro="" textlink="">
      <xdr:nvSpPr>
        <xdr:cNvPr id="130" name="TextBox 129"/>
        <xdr:cNvSpPr txBox="1"/>
      </xdr:nvSpPr>
      <xdr:spPr>
        <a:xfrm>
          <a:off x="4598078" y="37642800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245973</xdr:colOff>
      <xdr:row>193</xdr:row>
      <xdr:rowOff>149908</xdr:rowOff>
    </xdr:from>
    <xdr:to>
      <xdr:col>10</xdr:col>
      <xdr:colOff>97300</xdr:colOff>
      <xdr:row>195</xdr:row>
      <xdr:rowOff>116380</xdr:rowOff>
    </xdr:to>
    <xdr:sp macro="" textlink="">
      <xdr:nvSpPr>
        <xdr:cNvPr id="131" name="TextBox 130"/>
        <xdr:cNvSpPr txBox="1"/>
      </xdr:nvSpPr>
      <xdr:spPr>
        <a:xfrm>
          <a:off x="3198723" y="37992733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7 of 7</a:t>
          </a:r>
          <a:endParaRPr lang="en-US" sz="1050"/>
        </a:p>
      </xdr:txBody>
    </xdr:sp>
    <xdr:clientData/>
  </xdr:twoCellAnchor>
  <xdr:twoCellAnchor editAs="absolute">
    <xdr:from>
      <xdr:col>10</xdr:col>
      <xdr:colOff>105589</xdr:colOff>
      <xdr:row>193</xdr:row>
      <xdr:rowOff>149923</xdr:rowOff>
    </xdr:from>
    <xdr:to>
      <xdr:col>12</xdr:col>
      <xdr:colOff>789815</xdr:colOff>
      <xdr:row>195</xdr:row>
      <xdr:rowOff>116395</xdr:rowOff>
    </xdr:to>
    <xdr:sp macro="" textlink="">
      <xdr:nvSpPr>
        <xdr:cNvPr id="132" name="TextBox 131"/>
        <xdr:cNvSpPr txBox="1"/>
      </xdr:nvSpPr>
      <xdr:spPr>
        <a:xfrm>
          <a:off x="4601389" y="37992748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791809</xdr:colOff>
      <xdr:row>193</xdr:row>
      <xdr:rowOff>144947</xdr:rowOff>
    </xdr:from>
    <xdr:to>
      <xdr:col>14</xdr:col>
      <xdr:colOff>228260</xdr:colOff>
      <xdr:row>195</xdr:row>
      <xdr:rowOff>111419</xdr:rowOff>
    </xdr:to>
    <xdr:sp macro="" textlink="">
      <xdr:nvSpPr>
        <xdr:cNvPr id="133" name="TextBox 132"/>
        <xdr:cNvSpPr txBox="1">
          <a:spLocks/>
        </xdr:cNvSpPr>
      </xdr:nvSpPr>
      <xdr:spPr>
        <a:xfrm>
          <a:off x="6106759" y="37987772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285750</xdr:colOff>
      <xdr:row>192</xdr:row>
      <xdr:rowOff>20296</xdr:rowOff>
    </xdr:from>
    <xdr:to>
      <xdr:col>16</xdr:col>
      <xdr:colOff>215900</xdr:colOff>
      <xdr:row>195</xdr:row>
      <xdr:rowOff>88876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376726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3</xdr:col>
      <xdr:colOff>239364</xdr:colOff>
      <xdr:row>68</xdr:row>
      <xdr:rowOff>22772</xdr:rowOff>
    </xdr:from>
    <xdr:to>
      <xdr:col>7</xdr:col>
      <xdr:colOff>186769</xdr:colOff>
      <xdr:row>69</xdr:row>
      <xdr:rowOff>170219</xdr:rowOff>
    </xdr:to>
    <xdr:sp macro="" textlink="">
      <xdr:nvSpPr>
        <xdr:cNvPr id="135" name="TextBox 134"/>
        <xdr:cNvSpPr txBox="1"/>
      </xdr:nvSpPr>
      <xdr:spPr>
        <a:xfrm>
          <a:off x="1353789" y="129100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  <a:r>
            <a:rPr lang="en-US" sz="1100" baseline="0"/>
            <a:t> Stand</a:t>
          </a:r>
          <a:endParaRPr lang="en-US" sz="1100"/>
        </a:p>
      </xdr:txBody>
    </xdr:sp>
    <xdr:clientData/>
  </xdr:twoCellAnchor>
  <xdr:twoCellAnchor editAs="absolute">
    <xdr:from>
      <xdr:col>7</xdr:col>
      <xdr:colOff>195039</xdr:colOff>
      <xdr:row>66</xdr:row>
      <xdr:rowOff>38100</xdr:rowOff>
    </xdr:from>
    <xdr:to>
      <xdr:col>10</xdr:col>
      <xdr:colOff>381000</xdr:colOff>
      <xdr:row>68</xdr:row>
      <xdr:rowOff>14097</xdr:rowOff>
    </xdr:to>
    <xdr:sp macro="" textlink="">
      <xdr:nvSpPr>
        <xdr:cNvPr id="136" name="TextBox 135"/>
        <xdr:cNvSpPr txBox="1"/>
      </xdr:nvSpPr>
      <xdr:spPr>
        <a:xfrm>
          <a:off x="3147789" y="125444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66</xdr:row>
      <xdr:rowOff>38100</xdr:rowOff>
    </xdr:from>
    <xdr:to>
      <xdr:col>7</xdr:col>
      <xdr:colOff>186771</xdr:colOff>
      <xdr:row>68</xdr:row>
      <xdr:rowOff>14097</xdr:rowOff>
    </xdr:to>
    <xdr:sp macro="" textlink="">
      <xdr:nvSpPr>
        <xdr:cNvPr id="137" name="TextBox 136"/>
        <xdr:cNvSpPr txBox="1"/>
      </xdr:nvSpPr>
      <xdr:spPr>
        <a:xfrm>
          <a:off x="1353789" y="125444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54653</xdr:colOff>
      <xdr:row>66</xdr:row>
      <xdr:rowOff>38100</xdr:rowOff>
    </xdr:from>
    <xdr:to>
      <xdr:col>14</xdr:col>
      <xdr:colOff>180975</xdr:colOff>
      <xdr:row>68</xdr:row>
      <xdr:rowOff>14097</xdr:rowOff>
    </xdr:to>
    <xdr:sp macro="" textlink="">
      <xdr:nvSpPr>
        <xdr:cNvPr id="138" name="TextBox 137"/>
        <xdr:cNvSpPr txBox="1"/>
      </xdr:nvSpPr>
      <xdr:spPr>
        <a:xfrm>
          <a:off x="4550453" y="125444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BOM-01 04 00</a:t>
          </a:r>
          <a:endParaRPr lang="en-US">
            <a:effectLst/>
          </a:endParaRPr>
        </a:p>
      </xdr:txBody>
    </xdr:sp>
    <xdr:clientData/>
  </xdr:twoCellAnchor>
  <xdr:twoCellAnchor editAs="absolute">
    <xdr:from>
      <xdr:col>7</xdr:col>
      <xdr:colOff>198348</xdr:colOff>
      <xdr:row>68</xdr:row>
      <xdr:rowOff>16558</xdr:rowOff>
    </xdr:from>
    <xdr:to>
      <xdr:col>10</xdr:col>
      <xdr:colOff>49675</xdr:colOff>
      <xdr:row>69</xdr:row>
      <xdr:rowOff>164005</xdr:rowOff>
    </xdr:to>
    <xdr:sp macro="" textlink="">
      <xdr:nvSpPr>
        <xdr:cNvPr id="139" name="TextBox 138"/>
        <xdr:cNvSpPr txBox="1"/>
      </xdr:nvSpPr>
      <xdr:spPr>
        <a:xfrm>
          <a:off x="3151098" y="129038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7</a:t>
          </a:r>
          <a:endParaRPr lang="en-US" sz="1050"/>
        </a:p>
      </xdr:txBody>
    </xdr:sp>
    <xdr:clientData/>
  </xdr:twoCellAnchor>
  <xdr:twoCellAnchor editAs="absolute">
    <xdr:from>
      <xdr:col>10</xdr:col>
      <xdr:colOff>57964</xdr:colOff>
      <xdr:row>68</xdr:row>
      <xdr:rowOff>16573</xdr:rowOff>
    </xdr:from>
    <xdr:to>
      <xdr:col>12</xdr:col>
      <xdr:colOff>742190</xdr:colOff>
      <xdr:row>69</xdr:row>
      <xdr:rowOff>164020</xdr:rowOff>
    </xdr:to>
    <xdr:sp macro="" textlink="">
      <xdr:nvSpPr>
        <xdr:cNvPr id="140" name="TextBox 139"/>
        <xdr:cNvSpPr txBox="1"/>
      </xdr:nvSpPr>
      <xdr:spPr>
        <a:xfrm>
          <a:off x="4553764" y="129038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744184</xdr:colOff>
      <xdr:row>68</xdr:row>
      <xdr:rowOff>11597</xdr:rowOff>
    </xdr:from>
    <xdr:to>
      <xdr:col>14</xdr:col>
      <xdr:colOff>180635</xdr:colOff>
      <xdr:row>69</xdr:row>
      <xdr:rowOff>159044</xdr:rowOff>
    </xdr:to>
    <xdr:sp macro="" textlink="">
      <xdr:nvSpPr>
        <xdr:cNvPr id="141" name="TextBox 140"/>
        <xdr:cNvSpPr txBox="1">
          <a:spLocks/>
        </xdr:cNvSpPr>
      </xdr:nvSpPr>
      <xdr:spPr>
        <a:xfrm>
          <a:off x="6059134" y="128989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238125</xdr:colOff>
      <xdr:row>66</xdr:row>
      <xdr:rowOff>67921</xdr:rowOff>
    </xdr:from>
    <xdr:to>
      <xdr:col>16</xdr:col>
      <xdr:colOff>168275</xdr:colOff>
      <xdr:row>69</xdr:row>
      <xdr:rowOff>136501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2574246"/>
          <a:ext cx="7112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219"/>
  <sheetViews>
    <sheetView tabSelected="1" view="pageLayout" topLeftCell="E201" zoomScale="115" zoomScaleNormal="100" zoomScalePageLayoutView="115" workbookViewId="0">
      <selection activeCell="I227" sqref="I227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256" t="s">
        <v>0</v>
      </c>
      <c r="B6" s="257"/>
      <c r="C6" s="257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71"/>
      <c r="S6" s="71"/>
      <c r="T6" s="15" t="s">
        <v>15</v>
      </c>
    </row>
    <row r="7" spans="1:20" ht="49.15" customHeight="1" x14ac:dyDescent="0.2">
      <c r="A7" s="17" t="s">
        <v>2</v>
      </c>
      <c r="B7" s="17" t="s">
        <v>211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3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212</v>
      </c>
      <c r="S7" s="14" t="s">
        <v>213</v>
      </c>
      <c r="T7" s="3" t="s">
        <v>16</v>
      </c>
    </row>
    <row r="8" spans="1:20" ht="14.25" customHeight="1" x14ac:dyDescent="0.2">
      <c r="A8" s="258" t="s">
        <v>208</v>
      </c>
      <c r="B8" s="258">
        <v>25</v>
      </c>
      <c r="C8" s="261" t="s">
        <v>22</v>
      </c>
      <c r="D8" s="268" t="s">
        <v>205</v>
      </c>
      <c r="E8" s="270" t="s">
        <v>52</v>
      </c>
      <c r="F8" s="271" t="s">
        <v>18</v>
      </c>
      <c r="G8" s="272">
        <f>F8*C8</f>
        <v>5</v>
      </c>
      <c r="H8" s="268" t="s">
        <v>205</v>
      </c>
      <c r="I8" s="268" t="s">
        <v>52</v>
      </c>
      <c r="J8" s="268">
        <v>1</v>
      </c>
      <c r="K8" s="268">
        <v>2</v>
      </c>
      <c r="L8" s="18" t="s">
        <v>18</v>
      </c>
      <c r="M8" s="22" t="s">
        <v>53</v>
      </c>
      <c r="N8" s="23" t="s">
        <v>54</v>
      </c>
      <c r="O8" s="7">
        <v>1</v>
      </c>
      <c r="P8" s="70">
        <f>O8*$F$8</f>
        <v>1</v>
      </c>
      <c r="Q8" s="70">
        <f>P8*$C$8</f>
        <v>5</v>
      </c>
      <c r="R8" s="70">
        <f>Q8*5.5</f>
        <v>27.5</v>
      </c>
      <c r="S8" s="7" t="s">
        <v>214</v>
      </c>
      <c r="T8" s="5"/>
    </row>
    <row r="9" spans="1:20" ht="14.25" customHeight="1" x14ac:dyDescent="0.2">
      <c r="A9" s="259"/>
      <c r="B9" s="259"/>
      <c r="C9" s="262"/>
      <c r="D9" s="268"/>
      <c r="E9" s="270"/>
      <c r="F9" s="271"/>
      <c r="G9" s="269"/>
      <c r="H9" s="268"/>
      <c r="I9" s="268"/>
      <c r="J9" s="268"/>
      <c r="K9" s="268"/>
      <c r="L9" s="18" t="s">
        <v>19</v>
      </c>
      <c r="M9" s="22" t="s">
        <v>55</v>
      </c>
      <c r="N9" s="23" t="s">
        <v>56</v>
      </c>
      <c r="O9" s="7">
        <v>1</v>
      </c>
      <c r="P9" s="70">
        <f t="shared" ref="P9:P18" si="0">O9*$F$8</f>
        <v>1</v>
      </c>
      <c r="Q9" s="7">
        <f t="shared" ref="Q9:Q18" si="1">P9*$C$8</f>
        <v>5</v>
      </c>
      <c r="R9" s="7">
        <f>15.19*Q9</f>
        <v>75.95</v>
      </c>
      <c r="S9" s="7" t="s">
        <v>214</v>
      </c>
      <c r="T9" s="5"/>
    </row>
    <row r="10" spans="1:20" ht="14.25" customHeight="1" x14ac:dyDescent="0.2">
      <c r="A10" s="259"/>
      <c r="B10" s="259"/>
      <c r="C10" s="262"/>
      <c r="D10" s="268"/>
      <c r="E10" s="270"/>
      <c r="F10" s="271"/>
      <c r="G10" s="269"/>
      <c r="H10" s="268"/>
      <c r="I10" s="268"/>
      <c r="J10" s="268"/>
      <c r="K10" s="268"/>
      <c r="L10" s="18" t="s">
        <v>20</v>
      </c>
      <c r="M10" s="22" t="s">
        <v>57</v>
      </c>
      <c r="N10" s="74" t="str">
        <f>IF(B8=30,"4x234x1648",IF(B8=20,"4x234x1192",IF(B8=25,"4x234x1420",IF(B8=15,"4x234x964"))))</f>
        <v>4x234x1420</v>
      </c>
      <c r="O10" s="7">
        <v>2</v>
      </c>
      <c r="P10" s="7">
        <f t="shared" si="0"/>
        <v>2</v>
      </c>
      <c r="Q10" s="7">
        <f t="shared" si="1"/>
        <v>10</v>
      </c>
      <c r="R10" s="31">
        <f>(IF(B8=30,"12.1",IF(B8=20,"8.75",IF(B8=25,"10.42",IF(B8=15,"7")))))*Q10</f>
        <v>104.2</v>
      </c>
      <c r="S10" s="7" t="s">
        <v>214</v>
      </c>
      <c r="T10" s="5"/>
    </row>
    <row r="11" spans="1:20" ht="14.25" customHeight="1" thickBot="1" x14ac:dyDescent="0.25">
      <c r="A11" s="259"/>
      <c r="B11" s="259"/>
      <c r="C11" s="262"/>
      <c r="D11" s="268"/>
      <c r="E11" s="270"/>
      <c r="F11" s="271"/>
      <c r="G11" s="269"/>
      <c r="H11" s="275"/>
      <c r="I11" s="275"/>
      <c r="J11" s="275"/>
      <c r="K11" s="275"/>
      <c r="L11" s="25" t="s">
        <v>21</v>
      </c>
      <c r="M11" s="26" t="s">
        <v>58</v>
      </c>
      <c r="N11" s="28" t="s">
        <v>216</v>
      </c>
      <c r="O11" s="27">
        <v>4</v>
      </c>
      <c r="P11" s="27">
        <f t="shared" si="0"/>
        <v>4</v>
      </c>
      <c r="Q11" s="27">
        <f t="shared" si="1"/>
        <v>20</v>
      </c>
      <c r="R11" s="27">
        <f>0.75*Q11</f>
        <v>15</v>
      </c>
      <c r="S11" s="27" t="s">
        <v>214</v>
      </c>
      <c r="T11" s="52"/>
    </row>
    <row r="12" spans="1:20" ht="14.25" customHeight="1" thickBot="1" x14ac:dyDescent="0.25">
      <c r="A12" s="259"/>
      <c r="B12" s="259"/>
      <c r="C12" s="262"/>
      <c r="D12" s="268"/>
      <c r="E12" s="270"/>
      <c r="F12" s="271"/>
      <c r="G12" s="269"/>
      <c r="H12" s="58" t="s">
        <v>34</v>
      </c>
      <c r="I12" s="58" t="s">
        <v>59</v>
      </c>
      <c r="J12" s="58">
        <v>1</v>
      </c>
      <c r="K12" s="58">
        <v>2</v>
      </c>
      <c r="L12" s="38" t="s">
        <v>18</v>
      </c>
      <c r="M12" s="39" t="s">
        <v>59</v>
      </c>
      <c r="N12" s="40" t="s">
        <v>60</v>
      </c>
      <c r="O12" s="41">
        <v>1</v>
      </c>
      <c r="P12" s="41">
        <f t="shared" si="0"/>
        <v>1</v>
      </c>
      <c r="Q12" s="41">
        <f t="shared" si="1"/>
        <v>5</v>
      </c>
      <c r="R12" s="41">
        <f>Q12</f>
        <v>5</v>
      </c>
      <c r="S12" s="41" t="s">
        <v>215</v>
      </c>
      <c r="T12" s="59"/>
    </row>
    <row r="13" spans="1:20" ht="14.25" customHeight="1" x14ac:dyDescent="0.2">
      <c r="A13" s="259"/>
      <c r="B13" s="259"/>
      <c r="C13" s="262"/>
      <c r="D13" s="268"/>
      <c r="E13" s="270"/>
      <c r="F13" s="271"/>
      <c r="G13" s="269"/>
      <c r="H13" s="276" t="s">
        <v>206</v>
      </c>
      <c r="I13" s="277" t="s">
        <v>51</v>
      </c>
      <c r="J13" s="276">
        <v>1</v>
      </c>
      <c r="K13" s="276">
        <v>2</v>
      </c>
      <c r="L13" s="29" t="s">
        <v>18</v>
      </c>
      <c r="M13" s="24" t="s">
        <v>42</v>
      </c>
      <c r="N13" s="20" t="s">
        <v>61</v>
      </c>
      <c r="O13" s="19">
        <v>2</v>
      </c>
      <c r="P13" s="19">
        <f t="shared" si="0"/>
        <v>2</v>
      </c>
      <c r="Q13" s="19">
        <f t="shared" si="1"/>
        <v>10</v>
      </c>
      <c r="R13" s="19">
        <f t="shared" ref="R13:R18" si="2">Q13</f>
        <v>10</v>
      </c>
      <c r="S13" s="19" t="s">
        <v>215</v>
      </c>
      <c r="T13" s="16"/>
    </row>
    <row r="14" spans="1:20" ht="14.25" customHeight="1" x14ac:dyDescent="0.2">
      <c r="A14" s="259"/>
      <c r="B14" s="259"/>
      <c r="C14" s="262"/>
      <c r="D14" s="268"/>
      <c r="E14" s="270"/>
      <c r="F14" s="271"/>
      <c r="G14" s="269"/>
      <c r="H14" s="271"/>
      <c r="I14" s="270"/>
      <c r="J14" s="271"/>
      <c r="K14" s="271"/>
      <c r="L14" s="18" t="s">
        <v>19</v>
      </c>
      <c r="M14" s="22" t="s">
        <v>43</v>
      </c>
      <c r="N14" s="23" t="s">
        <v>62</v>
      </c>
      <c r="O14" s="7">
        <v>2</v>
      </c>
      <c r="P14" s="7">
        <f t="shared" si="0"/>
        <v>2</v>
      </c>
      <c r="Q14" s="7">
        <f t="shared" si="1"/>
        <v>10</v>
      </c>
      <c r="R14" s="7">
        <f t="shared" si="2"/>
        <v>10</v>
      </c>
      <c r="S14" s="7" t="s">
        <v>215</v>
      </c>
      <c r="T14" s="5"/>
    </row>
    <row r="15" spans="1:20" ht="14.25" customHeight="1" x14ac:dyDescent="0.2">
      <c r="A15" s="259"/>
      <c r="B15" s="259"/>
      <c r="C15" s="262"/>
      <c r="D15" s="268"/>
      <c r="E15" s="270"/>
      <c r="F15" s="271"/>
      <c r="G15" s="269"/>
      <c r="H15" s="271"/>
      <c r="I15" s="270"/>
      <c r="J15" s="271"/>
      <c r="K15" s="271"/>
      <c r="L15" s="18" t="s">
        <v>20</v>
      </c>
      <c r="M15" s="22" t="s">
        <v>63</v>
      </c>
      <c r="N15" s="23" t="s">
        <v>64</v>
      </c>
      <c r="O15" s="7">
        <v>2</v>
      </c>
      <c r="P15" s="7">
        <f t="shared" si="0"/>
        <v>2</v>
      </c>
      <c r="Q15" s="7">
        <f t="shared" si="1"/>
        <v>10</v>
      </c>
      <c r="R15" s="7">
        <f t="shared" si="2"/>
        <v>10</v>
      </c>
      <c r="S15" s="7" t="s">
        <v>215</v>
      </c>
      <c r="T15" s="5"/>
    </row>
    <row r="16" spans="1:20" ht="14.25" customHeight="1" x14ac:dyDescent="0.2">
      <c r="A16" s="259"/>
      <c r="B16" s="259"/>
      <c r="C16" s="262"/>
      <c r="D16" s="268"/>
      <c r="E16" s="270"/>
      <c r="F16" s="271"/>
      <c r="G16" s="269"/>
      <c r="H16" s="271"/>
      <c r="I16" s="270"/>
      <c r="J16" s="271"/>
      <c r="K16" s="271"/>
      <c r="L16" s="18" t="s">
        <v>21</v>
      </c>
      <c r="M16" s="22" t="s">
        <v>65</v>
      </c>
      <c r="N16" s="23" t="s">
        <v>64</v>
      </c>
      <c r="O16" s="7">
        <v>2</v>
      </c>
      <c r="P16" s="7">
        <f t="shared" si="0"/>
        <v>2</v>
      </c>
      <c r="Q16" s="7">
        <f t="shared" si="1"/>
        <v>10</v>
      </c>
      <c r="R16" s="7">
        <f t="shared" si="2"/>
        <v>10</v>
      </c>
      <c r="S16" s="7" t="s">
        <v>215</v>
      </c>
      <c r="T16" s="5"/>
    </row>
    <row r="17" spans="1:20" ht="14.25" customHeight="1" x14ac:dyDescent="0.2">
      <c r="A17" s="259"/>
      <c r="B17" s="259"/>
      <c r="C17" s="262"/>
      <c r="D17" s="268"/>
      <c r="E17" s="270"/>
      <c r="F17" s="271"/>
      <c r="G17" s="269"/>
      <c r="H17" s="271"/>
      <c r="I17" s="270"/>
      <c r="J17" s="271"/>
      <c r="K17" s="271"/>
      <c r="L17" s="18" t="s">
        <v>22</v>
      </c>
      <c r="M17" s="22" t="s">
        <v>44</v>
      </c>
      <c r="N17" s="23" t="s">
        <v>45</v>
      </c>
      <c r="O17" s="7">
        <v>4</v>
      </c>
      <c r="P17" s="7">
        <f t="shared" si="0"/>
        <v>4</v>
      </c>
      <c r="Q17" s="7">
        <f t="shared" si="1"/>
        <v>20</v>
      </c>
      <c r="R17" s="7">
        <f t="shared" si="2"/>
        <v>20</v>
      </c>
      <c r="S17" s="7" t="s">
        <v>215</v>
      </c>
      <c r="T17" s="5"/>
    </row>
    <row r="18" spans="1:20" ht="14.25" customHeight="1" x14ac:dyDescent="0.2">
      <c r="A18" s="260"/>
      <c r="B18" s="260"/>
      <c r="C18" s="263"/>
      <c r="D18" s="268"/>
      <c r="E18" s="270"/>
      <c r="F18" s="271"/>
      <c r="G18" s="269"/>
      <c r="H18" s="271"/>
      <c r="I18" s="270"/>
      <c r="J18" s="271"/>
      <c r="K18" s="271"/>
      <c r="L18" s="18" t="s">
        <v>23</v>
      </c>
      <c r="M18" s="22" t="s">
        <v>33</v>
      </c>
      <c r="N18" s="8" t="s">
        <v>46</v>
      </c>
      <c r="O18" s="7">
        <v>4</v>
      </c>
      <c r="P18" s="7">
        <f t="shared" si="0"/>
        <v>4</v>
      </c>
      <c r="Q18" s="7">
        <f t="shared" si="1"/>
        <v>20</v>
      </c>
      <c r="R18" s="7">
        <f t="shared" si="2"/>
        <v>20</v>
      </c>
      <c r="S18" s="7" t="s">
        <v>215</v>
      </c>
      <c r="T18" s="5"/>
    </row>
    <row r="19" spans="1:20" x14ac:dyDescent="0.2">
      <c r="J19" s="4"/>
      <c r="K19" s="4"/>
    </row>
    <row r="21" spans="1:20" x14ac:dyDescent="0.2">
      <c r="Q21" s="72"/>
    </row>
    <row r="25" spans="1:20" ht="15.75" x14ac:dyDescent="0.2">
      <c r="M25" s="73"/>
    </row>
    <row r="26" spans="1:20" hidden="1" x14ac:dyDescent="0.2">
      <c r="B26" s="76">
        <v>15</v>
      </c>
    </row>
    <row r="27" spans="1:20" hidden="1" x14ac:dyDescent="0.2">
      <c r="B27" s="76">
        <v>20</v>
      </c>
    </row>
    <row r="28" spans="1:20" hidden="1" x14ac:dyDescent="0.2">
      <c r="B28" s="76">
        <v>25</v>
      </c>
    </row>
    <row r="29" spans="1:20" hidden="1" x14ac:dyDescent="0.2">
      <c r="B29" s="76">
        <v>30</v>
      </c>
    </row>
    <row r="41" spans="1:20" ht="2.25" customHeight="1" x14ac:dyDescent="0.2"/>
    <row r="42" spans="1:20" ht="3" customHeight="1" x14ac:dyDescent="0.2"/>
    <row r="43" spans="1:20" ht="19.5" x14ac:dyDescent="0.2">
      <c r="A43" s="256" t="s">
        <v>0</v>
      </c>
      <c r="B43" s="257"/>
      <c r="C43" s="257"/>
      <c r="D43" s="9"/>
      <c r="E43" s="10"/>
      <c r="F43" s="10" t="s">
        <v>14</v>
      </c>
      <c r="G43" s="11"/>
      <c r="H43" s="10"/>
      <c r="I43" s="10" t="s">
        <v>13</v>
      </c>
      <c r="J43" s="10"/>
      <c r="K43" s="11"/>
      <c r="L43" s="9"/>
      <c r="M43" s="10"/>
      <c r="N43" s="6" t="s">
        <v>1</v>
      </c>
      <c r="O43" s="10"/>
      <c r="P43" s="10"/>
      <c r="Q43" s="10"/>
      <c r="R43" s="71"/>
      <c r="S43" s="71"/>
      <c r="T43" s="15" t="s">
        <v>15</v>
      </c>
    </row>
    <row r="44" spans="1:20" ht="45" x14ac:dyDescent="0.2">
      <c r="A44" s="17" t="s">
        <v>2</v>
      </c>
      <c r="B44" s="17" t="s">
        <v>211</v>
      </c>
      <c r="C44" s="3" t="s">
        <v>3</v>
      </c>
      <c r="D44" s="12" t="s">
        <v>4</v>
      </c>
      <c r="E44" s="13" t="s">
        <v>5</v>
      </c>
      <c r="F44" s="12" t="s">
        <v>6</v>
      </c>
      <c r="G44" s="12" t="s">
        <v>3</v>
      </c>
      <c r="H44" s="3" t="s">
        <v>10</v>
      </c>
      <c r="I44" s="3" t="s">
        <v>5</v>
      </c>
      <c r="J44" s="3" t="s">
        <v>12</v>
      </c>
      <c r="K44" s="3" t="s">
        <v>11</v>
      </c>
      <c r="L44" s="1" t="s">
        <v>7</v>
      </c>
      <c r="M44" s="2" t="s">
        <v>5</v>
      </c>
      <c r="N44" s="2" t="s">
        <v>9</v>
      </c>
      <c r="O44" s="3" t="s">
        <v>8</v>
      </c>
      <c r="P44" s="3" t="s">
        <v>6</v>
      </c>
      <c r="Q44" s="14" t="s">
        <v>3</v>
      </c>
      <c r="R44" s="14" t="s">
        <v>212</v>
      </c>
      <c r="S44" s="14" t="s">
        <v>213</v>
      </c>
      <c r="T44" s="3" t="s">
        <v>16</v>
      </c>
    </row>
    <row r="45" spans="1:20" ht="15.75" x14ac:dyDescent="0.2">
      <c r="A45" s="264" t="s">
        <v>208</v>
      </c>
      <c r="B45" s="264">
        <v>25</v>
      </c>
      <c r="C45" s="264">
        <v>1</v>
      </c>
      <c r="D45" s="264" t="s">
        <v>206</v>
      </c>
      <c r="E45" s="273" t="s">
        <v>66</v>
      </c>
      <c r="F45" s="274">
        <v>1</v>
      </c>
      <c r="G45" s="269">
        <f>C45*F45</f>
        <v>1</v>
      </c>
      <c r="H45" s="269" t="s">
        <v>205</v>
      </c>
      <c r="I45" s="269" t="s">
        <v>66</v>
      </c>
      <c r="J45" s="269">
        <v>1</v>
      </c>
      <c r="K45" s="269">
        <f>J45*G45</f>
        <v>1</v>
      </c>
      <c r="L45" s="77" t="s">
        <v>18</v>
      </c>
      <c r="M45" s="391" t="s">
        <v>53</v>
      </c>
      <c r="N45" s="75" t="s">
        <v>67</v>
      </c>
      <c r="O45" s="75">
        <v>1</v>
      </c>
      <c r="P45" s="74">
        <f>O45*$F$45</f>
        <v>1</v>
      </c>
      <c r="Q45" s="74">
        <f>P45*$C$45</f>
        <v>1</v>
      </c>
      <c r="R45" s="74">
        <f>5.65*Q45</f>
        <v>5.65</v>
      </c>
      <c r="S45" s="74" t="s">
        <v>214</v>
      </c>
      <c r="T45" s="78"/>
    </row>
    <row r="46" spans="1:20" ht="15.75" x14ac:dyDescent="0.2">
      <c r="A46" s="264"/>
      <c r="B46" s="264"/>
      <c r="C46" s="264"/>
      <c r="D46" s="264"/>
      <c r="E46" s="273"/>
      <c r="F46" s="274"/>
      <c r="G46" s="269"/>
      <c r="H46" s="269"/>
      <c r="I46" s="269"/>
      <c r="J46" s="269"/>
      <c r="K46" s="269"/>
      <c r="L46" s="77" t="s">
        <v>19</v>
      </c>
      <c r="M46" s="391" t="s">
        <v>55</v>
      </c>
      <c r="N46" s="75" t="s">
        <v>68</v>
      </c>
      <c r="O46" s="75">
        <v>3</v>
      </c>
      <c r="P46" s="74">
        <f t="shared" ref="P46:P60" si="3">O46*$F$45</f>
        <v>3</v>
      </c>
      <c r="Q46" s="74">
        <f t="shared" ref="Q46:Q60" si="4">P46*$C$45</f>
        <v>3</v>
      </c>
      <c r="R46" s="74">
        <f>Q46*1.5</f>
        <v>4.5</v>
      </c>
      <c r="S46" s="74" t="s">
        <v>214</v>
      </c>
      <c r="T46" s="78"/>
    </row>
    <row r="47" spans="1:20" ht="15.75" x14ac:dyDescent="0.2">
      <c r="A47" s="264"/>
      <c r="B47" s="264"/>
      <c r="C47" s="264"/>
      <c r="D47" s="264"/>
      <c r="E47" s="273"/>
      <c r="F47" s="274"/>
      <c r="G47" s="269"/>
      <c r="H47" s="269"/>
      <c r="I47" s="269"/>
      <c r="J47" s="269"/>
      <c r="K47" s="269"/>
      <c r="L47" s="77" t="s">
        <v>20</v>
      </c>
      <c r="M47" s="391" t="s">
        <v>69</v>
      </c>
      <c r="N47" s="75" t="s">
        <v>70</v>
      </c>
      <c r="O47" s="75">
        <v>1</v>
      </c>
      <c r="P47" s="74">
        <f t="shared" si="3"/>
        <v>1</v>
      </c>
      <c r="Q47" s="74">
        <f t="shared" si="4"/>
        <v>1</v>
      </c>
      <c r="R47" s="74">
        <f>2.3*Q47</f>
        <v>2.2999999999999998</v>
      </c>
      <c r="S47" s="74" t="s">
        <v>214</v>
      </c>
      <c r="T47" s="78"/>
    </row>
    <row r="48" spans="1:20" ht="15.75" x14ac:dyDescent="0.2">
      <c r="A48" s="264"/>
      <c r="B48" s="264"/>
      <c r="C48" s="264"/>
      <c r="D48" s="264"/>
      <c r="E48" s="273"/>
      <c r="F48" s="274"/>
      <c r="G48" s="269"/>
      <c r="H48" s="269"/>
      <c r="I48" s="269"/>
      <c r="J48" s="269"/>
      <c r="K48" s="269"/>
      <c r="L48" s="77" t="s">
        <v>21</v>
      </c>
      <c r="M48" s="391" t="s">
        <v>71</v>
      </c>
      <c r="N48" s="31" t="str">
        <f>IF(B45=30,"70x70,L=1677",IF(B45=20,"70x70,L=1213",IF(B45=25,"70x70,L=1445",IF(B45=15,"70x70,L=981"))))</f>
        <v>70x70,L=1445</v>
      </c>
      <c r="O48" s="75">
        <v>2</v>
      </c>
      <c r="P48" s="74">
        <f t="shared" si="3"/>
        <v>2</v>
      </c>
      <c r="Q48" s="74">
        <f t="shared" si="4"/>
        <v>2</v>
      </c>
      <c r="R48" s="31">
        <f>(IF(B45=30,"11",IF(B45=20,"8",IF(B45=25,"9.53",IF(B45=15,"6.46")))))*Q48</f>
        <v>19.059999999999999</v>
      </c>
      <c r="S48" s="74" t="s">
        <v>214</v>
      </c>
      <c r="T48" s="78"/>
    </row>
    <row r="49" spans="1:20" ht="15.75" x14ac:dyDescent="0.2">
      <c r="A49" s="264"/>
      <c r="B49" s="264"/>
      <c r="C49" s="264"/>
      <c r="D49" s="264"/>
      <c r="E49" s="273"/>
      <c r="F49" s="274"/>
      <c r="G49" s="269"/>
      <c r="H49" s="269"/>
      <c r="I49" s="269"/>
      <c r="J49" s="269"/>
      <c r="K49" s="269"/>
      <c r="L49" s="77" t="s">
        <v>22</v>
      </c>
      <c r="M49" s="391" t="s">
        <v>72</v>
      </c>
      <c r="N49" s="31" t="str">
        <f>IF(B45=30,"70x70,L=1718",IF(B45=20,"70x70,L=1177",IF(B45=25,"70x70,L=1447",IF(B45=15,"70x70,L=906"))))</f>
        <v>70x70,L=1447</v>
      </c>
      <c r="O49" s="75">
        <v>1</v>
      </c>
      <c r="P49" s="74">
        <f t="shared" si="3"/>
        <v>1</v>
      </c>
      <c r="Q49" s="74">
        <f t="shared" si="4"/>
        <v>1</v>
      </c>
      <c r="R49" s="31">
        <f>(IF(B45=30,"12.1",IF(B45=20,"8.75",IF(B45=25,"10.42",IF(B45=15,"7")))))*Q49</f>
        <v>10.42</v>
      </c>
      <c r="S49" s="74" t="s">
        <v>214</v>
      </c>
      <c r="T49" s="78"/>
    </row>
    <row r="50" spans="1:20" ht="15.75" x14ac:dyDescent="0.2">
      <c r="A50" s="264"/>
      <c r="B50" s="264"/>
      <c r="C50" s="264"/>
      <c r="D50" s="264"/>
      <c r="E50" s="273"/>
      <c r="F50" s="274"/>
      <c r="G50" s="269"/>
      <c r="H50" s="269"/>
      <c r="I50" s="269"/>
      <c r="J50" s="269"/>
      <c r="K50" s="269"/>
      <c r="L50" s="77" t="s">
        <v>23</v>
      </c>
      <c r="M50" s="391" t="s">
        <v>73</v>
      </c>
      <c r="N50" s="31" t="str">
        <f>IF(B45=30,"3x270x700",IF(B45=20,"3x270x500",IF(B45=25,"3x270x600",IF(B45=15,"3x270x400"))))</f>
        <v>3x270x600</v>
      </c>
      <c r="O50" s="75">
        <v>1</v>
      </c>
      <c r="P50" s="74">
        <f t="shared" si="3"/>
        <v>1</v>
      </c>
      <c r="Q50" s="74">
        <f t="shared" si="4"/>
        <v>1</v>
      </c>
      <c r="R50" s="31">
        <f>(IF(B45=30,"4.45",IF(B45=20,"3.18",IF(B45=25,"3.81",IF(B45=15,"2.54")))))*Q50</f>
        <v>3.81</v>
      </c>
      <c r="S50" s="74" t="s">
        <v>214</v>
      </c>
      <c r="T50" s="78"/>
    </row>
    <row r="51" spans="1:20" ht="28.5" x14ac:dyDescent="0.2">
      <c r="A51" s="264"/>
      <c r="B51" s="264"/>
      <c r="C51" s="264"/>
      <c r="D51" s="264"/>
      <c r="E51" s="273"/>
      <c r="F51" s="274"/>
      <c r="G51" s="269"/>
      <c r="H51" s="269"/>
      <c r="I51" s="269"/>
      <c r="J51" s="269"/>
      <c r="K51" s="269"/>
      <c r="L51" s="77" t="s">
        <v>24</v>
      </c>
      <c r="M51" s="392" t="s">
        <v>74</v>
      </c>
      <c r="N51" s="75" t="s">
        <v>75</v>
      </c>
      <c r="O51" s="75">
        <v>1</v>
      </c>
      <c r="P51" s="74">
        <f t="shared" si="3"/>
        <v>1</v>
      </c>
      <c r="Q51" s="74">
        <f t="shared" si="4"/>
        <v>1</v>
      </c>
      <c r="R51" s="74">
        <f>1.06*Q51</f>
        <v>1.06</v>
      </c>
      <c r="S51" s="74" t="s">
        <v>214</v>
      </c>
      <c r="T51" s="78"/>
    </row>
    <row r="52" spans="1:20" ht="15.75" x14ac:dyDescent="0.2">
      <c r="A52" s="264"/>
      <c r="B52" s="264"/>
      <c r="C52" s="264"/>
      <c r="D52" s="264"/>
      <c r="E52" s="273"/>
      <c r="F52" s="274"/>
      <c r="G52" s="269"/>
      <c r="H52" s="269"/>
      <c r="I52" s="269"/>
      <c r="J52" s="269"/>
      <c r="K52" s="269"/>
      <c r="L52" s="77" t="s">
        <v>25</v>
      </c>
      <c r="M52" s="391" t="s">
        <v>76</v>
      </c>
      <c r="N52" s="75" t="s">
        <v>77</v>
      </c>
      <c r="O52" s="75">
        <v>1</v>
      </c>
      <c r="P52" s="74">
        <f t="shared" si="3"/>
        <v>1</v>
      </c>
      <c r="Q52" s="74">
        <f t="shared" si="4"/>
        <v>1</v>
      </c>
      <c r="R52" s="74">
        <f>0.33*Q52</f>
        <v>0.33</v>
      </c>
      <c r="S52" s="74" t="s">
        <v>214</v>
      </c>
      <c r="T52" s="78"/>
    </row>
    <row r="53" spans="1:20" ht="15.75" x14ac:dyDescent="0.2">
      <c r="A53" s="264"/>
      <c r="B53" s="264"/>
      <c r="C53" s="264"/>
      <c r="D53" s="264"/>
      <c r="E53" s="273"/>
      <c r="F53" s="274"/>
      <c r="G53" s="269"/>
      <c r="H53" s="269"/>
      <c r="I53" s="269"/>
      <c r="J53" s="269"/>
      <c r="K53" s="269"/>
      <c r="L53" s="77" t="s">
        <v>26</v>
      </c>
      <c r="M53" s="391" t="s">
        <v>78</v>
      </c>
      <c r="N53" s="75" t="s">
        <v>79</v>
      </c>
      <c r="O53" s="75">
        <v>1</v>
      </c>
      <c r="P53" s="74">
        <f t="shared" si="3"/>
        <v>1</v>
      </c>
      <c r="Q53" s="74">
        <f t="shared" si="4"/>
        <v>1</v>
      </c>
      <c r="R53" s="74">
        <f>0.15*Q53</f>
        <v>0.15</v>
      </c>
      <c r="S53" s="74" t="s">
        <v>214</v>
      </c>
      <c r="T53" s="78"/>
    </row>
    <row r="54" spans="1:20" ht="15.75" x14ac:dyDescent="0.2">
      <c r="A54" s="264"/>
      <c r="B54" s="264"/>
      <c r="C54" s="264"/>
      <c r="D54" s="264"/>
      <c r="E54" s="273"/>
      <c r="F54" s="274"/>
      <c r="G54" s="269"/>
      <c r="H54" s="269"/>
      <c r="I54" s="269"/>
      <c r="J54" s="269"/>
      <c r="K54" s="269"/>
      <c r="L54" s="77" t="s">
        <v>27</v>
      </c>
      <c r="M54" s="391" t="s">
        <v>287</v>
      </c>
      <c r="N54" s="31" t="str">
        <f>IF(B45=30,"40x40,L=700",IF(B45=20,"40x40,L=500",IF(B45=25,"40x40,L=600",IF(B45=15,"40x40,L=400"))))</f>
        <v>40x40,L=600</v>
      </c>
      <c r="O54" s="75">
        <v>1</v>
      </c>
      <c r="P54" s="74">
        <f t="shared" si="3"/>
        <v>1</v>
      </c>
      <c r="Q54" s="74">
        <f t="shared" si="4"/>
        <v>1</v>
      </c>
      <c r="R54" s="31">
        <f>(IF(B45=30,"1.75",IF(B45=20,"1.25",IF(B45=25,"1.5",IF(B45=15,"1")))))*Q54</f>
        <v>1.5</v>
      </c>
      <c r="S54" s="74" t="s">
        <v>214</v>
      </c>
      <c r="T54" s="78"/>
    </row>
    <row r="55" spans="1:20" ht="15.75" x14ac:dyDescent="0.2">
      <c r="A55" s="264"/>
      <c r="B55" s="264"/>
      <c r="C55" s="264"/>
      <c r="D55" s="264"/>
      <c r="E55" s="273"/>
      <c r="F55" s="274"/>
      <c r="G55" s="269"/>
      <c r="H55" s="269"/>
      <c r="I55" s="269"/>
      <c r="J55" s="269"/>
      <c r="K55" s="269"/>
      <c r="L55" s="77" t="s">
        <v>28</v>
      </c>
      <c r="M55" s="391" t="s">
        <v>80</v>
      </c>
      <c r="N55" s="31" t="str">
        <f>IF(B45=30,"40x40,L=800",IF(B45=20,"40x40,L=600",IF(B45=25,"40x40,L=700",IF(B45=15,"40x40,L=500"))))</f>
        <v>40x40,L=700</v>
      </c>
      <c r="O55" s="75">
        <v>1</v>
      </c>
      <c r="P55" s="74">
        <f t="shared" si="3"/>
        <v>1</v>
      </c>
      <c r="Q55" s="74">
        <f t="shared" si="4"/>
        <v>1</v>
      </c>
      <c r="R55" s="31">
        <f>(IF(B45=30,"2",IF(B45=20,"1.5",IF(B45=25,"1.75",IF(B45=15,"1.25")))))*Q55</f>
        <v>1.75</v>
      </c>
      <c r="S55" s="74" t="s">
        <v>214</v>
      </c>
      <c r="T55" s="78"/>
    </row>
    <row r="56" spans="1:20" ht="16.5" x14ac:dyDescent="0.2">
      <c r="A56" s="264"/>
      <c r="B56" s="264"/>
      <c r="C56" s="264"/>
      <c r="D56" s="264"/>
      <c r="E56" s="273"/>
      <c r="F56" s="274"/>
      <c r="G56" s="269"/>
      <c r="H56" s="269"/>
      <c r="I56" s="269"/>
      <c r="J56" s="269"/>
      <c r="K56" s="269"/>
      <c r="L56" s="77" t="s">
        <v>29</v>
      </c>
      <c r="M56" s="391" t="s">
        <v>81</v>
      </c>
      <c r="N56" s="75" t="s">
        <v>82</v>
      </c>
      <c r="O56" s="75">
        <v>1</v>
      </c>
      <c r="P56" s="74">
        <f t="shared" si="3"/>
        <v>1</v>
      </c>
      <c r="Q56" s="74">
        <f t="shared" si="4"/>
        <v>1</v>
      </c>
      <c r="R56" s="74">
        <f>Q56*1.68</f>
        <v>1.68</v>
      </c>
      <c r="S56" s="74" t="s">
        <v>214</v>
      </c>
      <c r="T56" s="78"/>
    </row>
    <row r="57" spans="1:20" ht="15.75" x14ac:dyDescent="0.2">
      <c r="A57" s="264"/>
      <c r="B57" s="264"/>
      <c r="C57" s="264"/>
      <c r="D57" s="264"/>
      <c r="E57" s="273"/>
      <c r="F57" s="274"/>
      <c r="G57" s="269"/>
      <c r="H57" s="269"/>
      <c r="I57" s="269"/>
      <c r="J57" s="269"/>
      <c r="K57" s="269"/>
      <c r="L57" s="77" t="s">
        <v>30</v>
      </c>
      <c r="M57" s="391" t="s">
        <v>83</v>
      </c>
      <c r="N57" s="75" t="s">
        <v>289</v>
      </c>
      <c r="O57" s="75">
        <v>3</v>
      </c>
      <c r="P57" s="74">
        <f t="shared" si="3"/>
        <v>3</v>
      </c>
      <c r="Q57" s="74">
        <f t="shared" si="4"/>
        <v>3</v>
      </c>
      <c r="R57" s="74">
        <f>0.126*Q57</f>
        <v>0.378</v>
      </c>
      <c r="S57" s="74" t="s">
        <v>214</v>
      </c>
      <c r="T57" s="78"/>
    </row>
    <row r="58" spans="1:20" ht="15.75" x14ac:dyDescent="0.2">
      <c r="A58" s="264"/>
      <c r="B58" s="264"/>
      <c r="C58" s="264"/>
      <c r="D58" s="264"/>
      <c r="E58" s="273"/>
      <c r="F58" s="274"/>
      <c r="G58" s="269"/>
      <c r="H58" s="269"/>
      <c r="I58" s="269"/>
      <c r="J58" s="269"/>
      <c r="K58" s="269"/>
      <c r="L58" s="77" t="s">
        <v>31</v>
      </c>
      <c r="M58" s="391" t="s">
        <v>290</v>
      </c>
      <c r="N58" s="75" t="s">
        <v>84</v>
      </c>
      <c r="O58" s="75">
        <v>2</v>
      </c>
      <c r="P58" s="74">
        <f t="shared" si="3"/>
        <v>2</v>
      </c>
      <c r="Q58" s="74">
        <f t="shared" si="4"/>
        <v>2</v>
      </c>
      <c r="R58" s="74">
        <f>Q58*0.1</f>
        <v>0.2</v>
      </c>
      <c r="S58" s="74" t="s">
        <v>214</v>
      </c>
      <c r="T58" s="55"/>
    </row>
    <row r="59" spans="1:20" ht="15.75" x14ac:dyDescent="0.2">
      <c r="A59" s="264"/>
      <c r="B59" s="264"/>
      <c r="C59" s="264"/>
      <c r="D59" s="264"/>
      <c r="E59" s="273"/>
      <c r="F59" s="274"/>
      <c r="G59" s="269"/>
      <c r="H59" s="269"/>
      <c r="I59" s="269"/>
      <c r="J59" s="269"/>
      <c r="K59" s="269"/>
      <c r="L59" s="83">
        <v>15</v>
      </c>
      <c r="M59" s="391" t="s">
        <v>85</v>
      </c>
      <c r="N59" s="82" t="s">
        <v>86</v>
      </c>
      <c r="O59" s="82">
        <v>1</v>
      </c>
      <c r="P59" s="74">
        <f t="shared" si="3"/>
        <v>1</v>
      </c>
      <c r="Q59" s="74">
        <f t="shared" si="4"/>
        <v>1</v>
      </c>
      <c r="R59" s="74">
        <f>Q59*0.254</f>
        <v>0.254</v>
      </c>
      <c r="S59" s="74" t="s">
        <v>214</v>
      </c>
      <c r="T59" s="78"/>
    </row>
    <row r="60" spans="1:20" ht="16.5" x14ac:dyDescent="0.2">
      <c r="A60" s="264"/>
      <c r="B60" s="264"/>
      <c r="C60" s="264"/>
      <c r="D60" s="264"/>
      <c r="E60" s="273"/>
      <c r="F60" s="274"/>
      <c r="G60" s="269"/>
      <c r="H60" s="269"/>
      <c r="I60" s="269"/>
      <c r="J60" s="269"/>
      <c r="K60" s="269"/>
      <c r="L60" s="77">
        <v>16</v>
      </c>
      <c r="M60" s="393" t="s">
        <v>87</v>
      </c>
      <c r="N60" s="79" t="s">
        <v>88</v>
      </c>
      <c r="O60" s="75">
        <v>2</v>
      </c>
      <c r="P60" s="74">
        <f t="shared" si="3"/>
        <v>2</v>
      </c>
      <c r="Q60" s="74">
        <f t="shared" si="4"/>
        <v>2</v>
      </c>
      <c r="R60" s="74">
        <f>Q60*0.088</f>
        <v>0.17599999999999999</v>
      </c>
      <c r="S60" s="74" t="s">
        <v>214</v>
      </c>
      <c r="T60" s="78"/>
    </row>
    <row r="61" spans="1:20" x14ac:dyDescent="0.2">
      <c r="J61" s="4"/>
      <c r="K61" s="4"/>
    </row>
    <row r="71" spans="1:20" ht="5.25" customHeight="1" x14ac:dyDescent="0.2"/>
    <row r="72" spans="1:20" ht="19.5" x14ac:dyDescent="0.2">
      <c r="A72" s="256" t="s">
        <v>0</v>
      </c>
      <c r="B72" s="257"/>
      <c r="C72" s="257"/>
      <c r="D72" s="9"/>
      <c r="E72" s="10"/>
      <c r="F72" s="10" t="s">
        <v>14</v>
      </c>
      <c r="G72" s="11"/>
      <c r="H72" s="10"/>
      <c r="I72" s="10" t="s">
        <v>13</v>
      </c>
      <c r="J72" s="10"/>
      <c r="K72" s="11"/>
      <c r="L72" s="9"/>
      <c r="M72" s="10"/>
      <c r="N72" s="6" t="s">
        <v>1</v>
      </c>
      <c r="O72" s="10"/>
      <c r="P72" s="10"/>
      <c r="Q72" s="10"/>
      <c r="R72" s="71"/>
      <c r="S72" s="71"/>
      <c r="T72" s="15" t="s">
        <v>15</v>
      </c>
    </row>
    <row r="73" spans="1:20" ht="45" x14ac:dyDescent="0.2">
      <c r="A73" s="64" t="s">
        <v>2</v>
      </c>
      <c r="B73" s="64" t="s">
        <v>211</v>
      </c>
      <c r="C73" s="43" t="s">
        <v>3</v>
      </c>
      <c r="D73" s="43" t="s">
        <v>4</v>
      </c>
      <c r="E73" s="33" t="s">
        <v>5</v>
      </c>
      <c r="F73" s="43" t="s">
        <v>6</v>
      </c>
      <c r="G73" s="43" t="s">
        <v>3</v>
      </c>
      <c r="H73" s="43" t="s">
        <v>10</v>
      </c>
      <c r="I73" s="43" t="s">
        <v>5</v>
      </c>
      <c r="J73" s="43" t="s">
        <v>12</v>
      </c>
      <c r="K73" s="43" t="s">
        <v>11</v>
      </c>
      <c r="L73" s="62" t="s">
        <v>7</v>
      </c>
      <c r="M73" s="33" t="s">
        <v>5</v>
      </c>
      <c r="N73" s="33" t="s">
        <v>9</v>
      </c>
      <c r="O73" s="43" t="s">
        <v>8</v>
      </c>
      <c r="P73" s="43" t="s">
        <v>6</v>
      </c>
      <c r="Q73" s="63" t="s">
        <v>3</v>
      </c>
      <c r="R73" s="63" t="s">
        <v>212</v>
      </c>
      <c r="S73" s="63" t="s">
        <v>213</v>
      </c>
      <c r="T73" s="43" t="s">
        <v>16</v>
      </c>
    </row>
    <row r="74" spans="1:20" ht="14.25" customHeight="1" x14ac:dyDescent="0.2">
      <c r="A74" s="253" t="s">
        <v>208</v>
      </c>
      <c r="B74" s="253">
        <v>20</v>
      </c>
      <c r="C74" s="265" t="s">
        <v>18</v>
      </c>
      <c r="D74" s="265" t="s">
        <v>206</v>
      </c>
      <c r="E74" s="265" t="s">
        <v>66</v>
      </c>
      <c r="F74" s="265" t="s">
        <v>18</v>
      </c>
      <c r="G74" s="295">
        <f>F74*C74</f>
        <v>1</v>
      </c>
      <c r="H74" s="271" t="s">
        <v>205</v>
      </c>
      <c r="I74" s="271" t="s">
        <v>66</v>
      </c>
      <c r="J74" s="271">
        <v>1</v>
      </c>
      <c r="K74" s="271">
        <v>2</v>
      </c>
      <c r="L74" s="111" t="s">
        <v>32</v>
      </c>
      <c r="M74" s="394" t="s">
        <v>109</v>
      </c>
      <c r="N74" s="49" t="s">
        <v>110</v>
      </c>
      <c r="O74" s="120">
        <v>2</v>
      </c>
      <c r="P74" s="120">
        <f>O74*$F$74</f>
        <v>2</v>
      </c>
      <c r="Q74" s="120">
        <f>P74*C$74</f>
        <v>2</v>
      </c>
      <c r="R74" s="120">
        <f>Q74</f>
        <v>2</v>
      </c>
      <c r="S74" s="150" t="s">
        <v>215</v>
      </c>
      <c r="T74" s="121"/>
    </row>
    <row r="75" spans="1:20" ht="14.25" customHeight="1" x14ac:dyDescent="0.2">
      <c r="A75" s="254"/>
      <c r="B75" s="254"/>
      <c r="C75" s="266"/>
      <c r="D75" s="266"/>
      <c r="E75" s="266"/>
      <c r="F75" s="266"/>
      <c r="G75" s="296"/>
      <c r="H75" s="271"/>
      <c r="I75" s="271"/>
      <c r="J75" s="271"/>
      <c r="K75" s="271"/>
      <c r="L75" s="111" t="s">
        <v>35</v>
      </c>
      <c r="M75" s="394" t="s">
        <v>111</v>
      </c>
      <c r="N75" s="49" t="s">
        <v>112</v>
      </c>
      <c r="O75" s="120">
        <v>2</v>
      </c>
      <c r="P75" s="120">
        <f t="shared" ref="P75:P86" si="5">O75*$F$74</f>
        <v>2</v>
      </c>
      <c r="Q75" s="120">
        <f t="shared" ref="Q75:Q86" si="6">P75*C$74</f>
        <v>2</v>
      </c>
      <c r="R75" s="120">
        <f t="shared" ref="R75:R86" si="7">Q75</f>
        <v>2</v>
      </c>
      <c r="S75" s="150" t="s">
        <v>215</v>
      </c>
      <c r="T75" s="121"/>
    </row>
    <row r="76" spans="1:20" ht="14.25" customHeight="1" x14ac:dyDescent="0.2">
      <c r="A76" s="254"/>
      <c r="B76" s="254"/>
      <c r="C76" s="266"/>
      <c r="D76" s="266"/>
      <c r="E76" s="266"/>
      <c r="F76" s="266"/>
      <c r="G76" s="296"/>
      <c r="H76" s="271"/>
      <c r="I76" s="271"/>
      <c r="J76" s="271"/>
      <c r="K76" s="271"/>
      <c r="L76" s="111" t="s">
        <v>36</v>
      </c>
      <c r="M76" s="394" t="s">
        <v>113</v>
      </c>
      <c r="N76" s="49" t="s">
        <v>114</v>
      </c>
      <c r="O76" s="120">
        <v>4</v>
      </c>
      <c r="P76" s="120">
        <f t="shared" si="5"/>
        <v>4</v>
      </c>
      <c r="Q76" s="120">
        <f t="shared" si="6"/>
        <v>4</v>
      </c>
      <c r="R76" s="120">
        <f t="shared" si="7"/>
        <v>4</v>
      </c>
      <c r="S76" s="150" t="s">
        <v>215</v>
      </c>
      <c r="T76" s="121"/>
    </row>
    <row r="77" spans="1:20" ht="14.25" customHeight="1" x14ac:dyDescent="0.2">
      <c r="A77" s="254"/>
      <c r="B77" s="254"/>
      <c r="C77" s="266"/>
      <c r="D77" s="266"/>
      <c r="E77" s="266"/>
      <c r="F77" s="266"/>
      <c r="G77" s="296"/>
      <c r="H77" s="290"/>
      <c r="I77" s="290"/>
      <c r="J77" s="290"/>
      <c r="K77" s="290"/>
      <c r="L77" s="111" t="s">
        <v>39</v>
      </c>
      <c r="M77" s="394" t="s">
        <v>115</v>
      </c>
      <c r="N77" s="49" t="s">
        <v>114</v>
      </c>
      <c r="O77" s="120">
        <v>2</v>
      </c>
      <c r="P77" s="120">
        <f t="shared" si="5"/>
        <v>2</v>
      </c>
      <c r="Q77" s="120">
        <f t="shared" si="6"/>
        <v>2</v>
      </c>
      <c r="R77" s="120">
        <f t="shared" si="7"/>
        <v>2</v>
      </c>
      <c r="S77" s="150" t="s">
        <v>215</v>
      </c>
      <c r="T77" s="122"/>
    </row>
    <row r="78" spans="1:20" ht="14.25" customHeight="1" x14ac:dyDescent="0.2">
      <c r="A78" s="254"/>
      <c r="B78" s="254"/>
      <c r="C78" s="266"/>
      <c r="D78" s="266"/>
      <c r="E78" s="266"/>
      <c r="F78" s="266"/>
      <c r="G78" s="296"/>
      <c r="H78" s="290"/>
      <c r="I78" s="290"/>
      <c r="J78" s="290"/>
      <c r="K78" s="290"/>
      <c r="L78" s="114" t="s">
        <v>40</v>
      </c>
      <c r="M78" s="395" t="s">
        <v>127</v>
      </c>
      <c r="N78" s="67" t="s">
        <v>48</v>
      </c>
      <c r="O78" s="123">
        <v>1</v>
      </c>
      <c r="P78" s="123">
        <f t="shared" si="5"/>
        <v>1</v>
      </c>
      <c r="Q78" s="123">
        <f t="shared" si="6"/>
        <v>1</v>
      </c>
      <c r="R78" s="123">
        <f t="shared" si="7"/>
        <v>1</v>
      </c>
      <c r="S78" s="123" t="s">
        <v>215</v>
      </c>
      <c r="T78" s="122"/>
    </row>
    <row r="79" spans="1:20" ht="14.25" customHeight="1" thickBot="1" x14ac:dyDescent="0.25">
      <c r="A79" s="254"/>
      <c r="B79" s="254"/>
      <c r="C79" s="266"/>
      <c r="D79" s="266"/>
      <c r="E79" s="266"/>
      <c r="F79" s="266"/>
      <c r="G79" s="296"/>
      <c r="H79" s="294"/>
      <c r="I79" s="294"/>
      <c r="J79" s="294"/>
      <c r="K79" s="294"/>
      <c r="L79" s="112" t="s">
        <v>47</v>
      </c>
      <c r="M79" s="396" t="s">
        <v>128</v>
      </c>
      <c r="N79" s="65" t="s">
        <v>41</v>
      </c>
      <c r="O79" s="125">
        <v>1</v>
      </c>
      <c r="P79" s="125">
        <f t="shared" si="5"/>
        <v>1</v>
      </c>
      <c r="Q79" s="125">
        <f t="shared" si="6"/>
        <v>1</v>
      </c>
      <c r="R79" s="125">
        <f t="shared" si="7"/>
        <v>1</v>
      </c>
      <c r="S79" s="125" t="s">
        <v>215</v>
      </c>
      <c r="T79" s="130"/>
    </row>
    <row r="80" spans="1:20" ht="14.25" customHeight="1" thickBot="1" x14ac:dyDescent="0.25">
      <c r="A80" s="254"/>
      <c r="B80" s="254"/>
      <c r="C80" s="266"/>
      <c r="D80" s="266"/>
      <c r="E80" s="266"/>
      <c r="F80" s="266"/>
      <c r="G80" s="296"/>
      <c r="H80" s="53" t="s">
        <v>34</v>
      </c>
      <c r="I80" s="53" t="s">
        <v>59</v>
      </c>
      <c r="J80" s="53" t="s">
        <v>34</v>
      </c>
      <c r="K80" s="53" t="s">
        <v>34</v>
      </c>
      <c r="L80" s="61" t="s">
        <v>18</v>
      </c>
      <c r="M80" s="397" t="s">
        <v>59</v>
      </c>
      <c r="N80" s="54" t="s">
        <v>60</v>
      </c>
      <c r="O80" s="126">
        <v>1</v>
      </c>
      <c r="P80" s="126">
        <f t="shared" si="5"/>
        <v>1</v>
      </c>
      <c r="Q80" s="126">
        <f t="shared" si="6"/>
        <v>1</v>
      </c>
      <c r="R80" s="126">
        <f t="shared" si="7"/>
        <v>1</v>
      </c>
      <c r="S80" s="126" t="s">
        <v>215</v>
      </c>
      <c r="T80" s="127"/>
    </row>
    <row r="81" spans="1:20" ht="14.25" customHeight="1" x14ac:dyDescent="0.2">
      <c r="A81" s="254"/>
      <c r="B81" s="254"/>
      <c r="C81" s="266"/>
      <c r="D81" s="266"/>
      <c r="E81" s="266"/>
      <c r="F81" s="266"/>
      <c r="G81" s="296"/>
      <c r="H81" s="286" t="s">
        <v>206</v>
      </c>
      <c r="I81" s="298" t="s">
        <v>51</v>
      </c>
      <c r="J81" s="286">
        <v>1</v>
      </c>
      <c r="K81" s="286">
        <v>2</v>
      </c>
      <c r="L81" s="21" t="s">
        <v>18</v>
      </c>
      <c r="M81" s="398" t="s">
        <v>44</v>
      </c>
      <c r="N81" s="66" t="s">
        <v>45</v>
      </c>
      <c r="O81" s="124">
        <v>6</v>
      </c>
      <c r="P81" s="124">
        <f t="shared" si="5"/>
        <v>6</v>
      </c>
      <c r="Q81" s="124">
        <f t="shared" ref="Q81:Q82" si="8">P81*C$74</f>
        <v>6</v>
      </c>
      <c r="R81" s="124">
        <f t="shared" si="7"/>
        <v>6</v>
      </c>
      <c r="S81" s="124" t="s">
        <v>215</v>
      </c>
      <c r="T81" s="122"/>
    </row>
    <row r="82" spans="1:20" ht="14.25" customHeight="1" x14ac:dyDescent="0.2">
      <c r="A82" s="254"/>
      <c r="B82" s="254"/>
      <c r="C82" s="266"/>
      <c r="D82" s="266"/>
      <c r="E82" s="266"/>
      <c r="F82" s="266"/>
      <c r="G82" s="296"/>
      <c r="H82" s="262"/>
      <c r="I82" s="299"/>
      <c r="J82" s="262"/>
      <c r="K82" s="262"/>
      <c r="L82" s="113" t="s">
        <v>19</v>
      </c>
      <c r="M82" s="399" t="s">
        <v>33</v>
      </c>
      <c r="N82" s="49" t="s">
        <v>46</v>
      </c>
      <c r="O82" s="129">
        <v>6</v>
      </c>
      <c r="P82" s="129">
        <f t="shared" si="5"/>
        <v>6</v>
      </c>
      <c r="Q82" s="129">
        <f t="shared" si="8"/>
        <v>6</v>
      </c>
      <c r="R82" s="129">
        <f t="shared" si="7"/>
        <v>6</v>
      </c>
      <c r="S82" s="129" t="s">
        <v>215</v>
      </c>
      <c r="T82" s="134"/>
    </row>
    <row r="83" spans="1:20" ht="14.25" customHeight="1" x14ac:dyDescent="0.2">
      <c r="A83" s="254"/>
      <c r="B83" s="254"/>
      <c r="C83" s="266"/>
      <c r="D83" s="266"/>
      <c r="E83" s="266"/>
      <c r="F83" s="266"/>
      <c r="G83" s="296"/>
      <c r="H83" s="262"/>
      <c r="I83" s="299"/>
      <c r="J83" s="262"/>
      <c r="K83" s="262"/>
      <c r="L83" s="113" t="s">
        <v>20</v>
      </c>
      <c r="M83" s="400" t="s">
        <v>105</v>
      </c>
      <c r="N83" s="131" t="s">
        <v>61</v>
      </c>
      <c r="O83" s="132">
        <v>2</v>
      </c>
      <c r="P83" s="132">
        <f t="shared" si="5"/>
        <v>2</v>
      </c>
      <c r="Q83" s="132">
        <f t="shared" si="6"/>
        <v>2</v>
      </c>
      <c r="R83" s="132">
        <f t="shared" si="7"/>
        <v>2</v>
      </c>
      <c r="S83" s="132" t="s">
        <v>215</v>
      </c>
      <c r="T83" s="133"/>
    </row>
    <row r="84" spans="1:20" ht="14.25" customHeight="1" x14ac:dyDescent="0.2">
      <c r="A84" s="254"/>
      <c r="B84" s="254"/>
      <c r="C84" s="266"/>
      <c r="D84" s="266"/>
      <c r="E84" s="266"/>
      <c r="F84" s="266"/>
      <c r="G84" s="296"/>
      <c r="H84" s="262"/>
      <c r="I84" s="299"/>
      <c r="J84" s="262"/>
      <c r="K84" s="262"/>
      <c r="L84" s="18" t="s">
        <v>21</v>
      </c>
      <c r="M84" s="394" t="s">
        <v>106</v>
      </c>
      <c r="N84" s="32" t="s">
        <v>62</v>
      </c>
      <c r="O84" s="129">
        <v>2</v>
      </c>
      <c r="P84" s="129">
        <f t="shared" si="5"/>
        <v>2</v>
      </c>
      <c r="Q84" s="129">
        <f t="shared" si="6"/>
        <v>2</v>
      </c>
      <c r="R84" s="129">
        <f t="shared" si="7"/>
        <v>2</v>
      </c>
      <c r="S84" s="129" t="s">
        <v>215</v>
      </c>
      <c r="T84" s="121"/>
    </row>
    <row r="85" spans="1:20" ht="14.25" customHeight="1" x14ac:dyDescent="0.2">
      <c r="A85" s="254"/>
      <c r="B85" s="254"/>
      <c r="C85" s="266"/>
      <c r="D85" s="266"/>
      <c r="E85" s="266"/>
      <c r="F85" s="266"/>
      <c r="G85" s="296"/>
      <c r="H85" s="262"/>
      <c r="I85" s="299"/>
      <c r="J85" s="262"/>
      <c r="K85" s="262"/>
      <c r="L85" s="18" t="s">
        <v>22</v>
      </c>
      <c r="M85" s="394" t="s">
        <v>107</v>
      </c>
      <c r="N85" s="32" t="s">
        <v>64</v>
      </c>
      <c r="O85" s="129">
        <v>2</v>
      </c>
      <c r="P85" s="129">
        <f t="shared" si="5"/>
        <v>2</v>
      </c>
      <c r="Q85" s="129">
        <f t="shared" si="6"/>
        <v>2</v>
      </c>
      <c r="R85" s="129">
        <f t="shared" si="7"/>
        <v>2</v>
      </c>
      <c r="S85" s="129" t="s">
        <v>215</v>
      </c>
      <c r="T85" s="121"/>
    </row>
    <row r="86" spans="1:20" ht="14.25" customHeight="1" x14ac:dyDescent="0.2">
      <c r="A86" s="255"/>
      <c r="B86" s="255"/>
      <c r="C86" s="267"/>
      <c r="D86" s="267"/>
      <c r="E86" s="267"/>
      <c r="F86" s="267"/>
      <c r="G86" s="297"/>
      <c r="H86" s="263"/>
      <c r="I86" s="300"/>
      <c r="J86" s="263"/>
      <c r="K86" s="263"/>
      <c r="L86" s="18" t="s">
        <v>23</v>
      </c>
      <c r="M86" s="394" t="s">
        <v>108</v>
      </c>
      <c r="N86" s="32" t="s">
        <v>64</v>
      </c>
      <c r="O86" s="129">
        <v>2</v>
      </c>
      <c r="P86" s="129">
        <f t="shared" si="5"/>
        <v>2</v>
      </c>
      <c r="Q86" s="129">
        <f t="shared" si="6"/>
        <v>2</v>
      </c>
      <c r="R86" s="129">
        <f t="shared" si="7"/>
        <v>2</v>
      </c>
      <c r="S86" s="129" t="s">
        <v>215</v>
      </c>
      <c r="T86" s="121"/>
    </row>
    <row r="102" spans="1:29" ht="5.25" customHeight="1" x14ac:dyDescent="0.2"/>
    <row r="103" spans="1:29" ht="19.5" x14ac:dyDescent="0.2">
      <c r="A103" s="256" t="s">
        <v>0</v>
      </c>
      <c r="B103" s="257"/>
      <c r="C103" s="257"/>
      <c r="D103" s="9"/>
      <c r="E103" s="10"/>
      <c r="F103" s="10" t="s">
        <v>14</v>
      </c>
      <c r="G103" s="11"/>
      <c r="H103" s="10"/>
      <c r="I103" s="10" t="s">
        <v>13</v>
      </c>
      <c r="J103" s="10"/>
      <c r="K103" s="11"/>
      <c r="L103" s="9"/>
      <c r="M103" s="10"/>
      <c r="N103" s="6" t="s">
        <v>1</v>
      </c>
      <c r="O103" s="10"/>
      <c r="P103" s="10"/>
      <c r="Q103" s="10"/>
      <c r="R103" s="71"/>
      <c r="S103" s="71"/>
      <c r="T103" s="15" t="s">
        <v>15</v>
      </c>
    </row>
    <row r="104" spans="1:29" ht="45" x14ac:dyDescent="0.2">
      <c r="A104" s="17" t="s">
        <v>2</v>
      </c>
      <c r="B104" s="17" t="s">
        <v>211</v>
      </c>
      <c r="C104" s="3" t="s">
        <v>3</v>
      </c>
      <c r="D104" s="12" t="s">
        <v>4</v>
      </c>
      <c r="E104" s="13" t="s">
        <v>5</v>
      </c>
      <c r="F104" s="12" t="s">
        <v>6</v>
      </c>
      <c r="G104" s="12" t="s">
        <v>3</v>
      </c>
      <c r="H104" s="3" t="s">
        <v>10</v>
      </c>
      <c r="I104" s="3" t="s">
        <v>5</v>
      </c>
      <c r="J104" s="3" t="s">
        <v>12</v>
      </c>
      <c r="K104" s="3" t="s">
        <v>11</v>
      </c>
      <c r="L104" s="1" t="s">
        <v>7</v>
      </c>
      <c r="M104" s="2" t="s">
        <v>5</v>
      </c>
      <c r="N104" s="2" t="s">
        <v>9</v>
      </c>
      <c r="O104" s="3" t="s">
        <v>8</v>
      </c>
      <c r="P104" s="3" t="s">
        <v>6</v>
      </c>
      <c r="Q104" s="14" t="s">
        <v>3</v>
      </c>
      <c r="R104" s="14" t="s">
        <v>212</v>
      </c>
      <c r="S104" s="14" t="s">
        <v>213</v>
      </c>
      <c r="T104" s="3" t="s">
        <v>16</v>
      </c>
    </row>
    <row r="105" spans="1:29" ht="14.25" customHeight="1" x14ac:dyDescent="0.2">
      <c r="A105" s="261" t="s">
        <v>208</v>
      </c>
      <c r="B105" s="261">
        <v>30</v>
      </c>
      <c r="C105" s="261" t="s">
        <v>18</v>
      </c>
      <c r="D105" s="261" t="s">
        <v>207</v>
      </c>
      <c r="E105" s="290" t="s">
        <v>298</v>
      </c>
      <c r="F105" s="290" t="s">
        <v>18</v>
      </c>
      <c r="G105" s="278">
        <f>C105*F105</f>
        <v>1</v>
      </c>
      <c r="H105" s="278" t="s">
        <v>205</v>
      </c>
      <c r="I105" s="281" t="s">
        <v>130</v>
      </c>
      <c r="J105" s="283" t="str">
        <f>IF((AND(B105=30,E105="درام3400")),"12",IF((AND(B105=25,E105="درام3400")),"10",IF((AND(B105=20,E105="درام3400")),"8",IF((AND(B105=15,E105="درام3400")),"6",IF((AND(B105=30,E105="درام5100")),"18",IF((AND(B105=25,E105="درام5100")),"15",IF((AND(B105=20,E105="درام5100")),"12",IF((AND(B105=15,E105="درام5100")),"9"))))))))</f>
        <v>18</v>
      </c>
      <c r="K105" s="278">
        <f>J105*G105</f>
        <v>18</v>
      </c>
      <c r="L105" s="135" t="s">
        <v>18</v>
      </c>
      <c r="M105" s="401" t="s">
        <v>131</v>
      </c>
      <c r="N105" s="136" t="s">
        <v>132</v>
      </c>
      <c r="O105" s="120">
        <f>2*$J$105</f>
        <v>36</v>
      </c>
      <c r="P105" s="120">
        <f>O105*$F$105</f>
        <v>36</v>
      </c>
      <c r="Q105" s="120">
        <f>P105*$C$105</f>
        <v>36</v>
      </c>
      <c r="R105" s="120">
        <f>7*$Q$105</f>
        <v>252</v>
      </c>
      <c r="S105" s="150" t="s">
        <v>214</v>
      </c>
      <c r="T105" s="74"/>
    </row>
    <row r="106" spans="1:29" ht="14.25" customHeight="1" x14ac:dyDescent="0.2">
      <c r="A106" s="262"/>
      <c r="B106" s="262"/>
      <c r="C106" s="262"/>
      <c r="D106" s="262"/>
      <c r="E106" s="291"/>
      <c r="F106" s="291"/>
      <c r="G106" s="279"/>
      <c r="H106" s="279"/>
      <c r="I106" s="281"/>
      <c r="J106" s="284"/>
      <c r="K106" s="279"/>
      <c r="L106" s="135" t="s">
        <v>19</v>
      </c>
      <c r="M106" s="401" t="s">
        <v>133</v>
      </c>
      <c r="N106" s="74" t="s">
        <v>306</v>
      </c>
      <c r="O106" s="120">
        <f t="shared" ref="O106:O107" si="9">2*$J$105</f>
        <v>36</v>
      </c>
      <c r="P106" s="120">
        <f t="shared" ref="P106:P123" si="10">O106*$F$105</f>
        <v>36</v>
      </c>
      <c r="Q106" s="120">
        <f t="shared" ref="Q106:Q123" si="11">P106*$C$105</f>
        <v>36</v>
      </c>
      <c r="R106" s="74">
        <f>7.2*Q106</f>
        <v>259.2</v>
      </c>
      <c r="S106" s="150" t="s">
        <v>214</v>
      </c>
      <c r="T106" s="121"/>
    </row>
    <row r="107" spans="1:29" ht="14.25" customHeight="1" x14ac:dyDescent="0.2">
      <c r="A107" s="262"/>
      <c r="B107" s="262"/>
      <c r="C107" s="262"/>
      <c r="D107" s="262"/>
      <c r="E107" s="291"/>
      <c r="F107" s="291"/>
      <c r="G107" s="279"/>
      <c r="H107" s="279"/>
      <c r="I107" s="281"/>
      <c r="J107" s="284"/>
      <c r="K107" s="279"/>
      <c r="L107" s="135" t="s">
        <v>20</v>
      </c>
      <c r="M107" s="401" t="s">
        <v>134</v>
      </c>
      <c r="N107" s="136" t="s">
        <v>135</v>
      </c>
      <c r="O107" s="120">
        <f t="shared" si="9"/>
        <v>36</v>
      </c>
      <c r="P107" s="120">
        <f t="shared" si="10"/>
        <v>36</v>
      </c>
      <c r="Q107" s="120">
        <f t="shared" si="11"/>
        <v>36</v>
      </c>
      <c r="R107" s="120">
        <f>3.6*Q107</f>
        <v>129.6</v>
      </c>
      <c r="S107" s="150" t="s">
        <v>214</v>
      </c>
      <c r="T107" s="121"/>
    </row>
    <row r="108" spans="1:29" ht="14.25" customHeight="1" thickBot="1" x14ac:dyDescent="0.25">
      <c r="A108" s="262"/>
      <c r="B108" s="262"/>
      <c r="C108" s="262"/>
      <c r="D108" s="262"/>
      <c r="E108" s="291"/>
      <c r="F108" s="291"/>
      <c r="G108" s="279"/>
      <c r="H108" s="280"/>
      <c r="I108" s="282"/>
      <c r="J108" s="285"/>
      <c r="K108" s="280"/>
      <c r="L108" s="137" t="s">
        <v>21</v>
      </c>
      <c r="M108" s="402" t="s">
        <v>37</v>
      </c>
      <c r="N108" s="139" t="s">
        <v>307</v>
      </c>
      <c r="O108" s="138" t="str">
        <f>$J$105</f>
        <v>18</v>
      </c>
      <c r="P108" s="138">
        <f t="shared" si="10"/>
        <v>18</v>
      </c>
      <c r="Q108" s="138">
        <f t="shared" si="11"/>
        <v>18</v>
      </c>
      <c r="R108" s="138">
        <f>1.9*Q108</f>
        <v>34.199999999999996</v>
      </c>
      <c r="S108" s="144" t="s">
        <v>214</v>
      </c>
      <c r="T108" s="130"/>
    </row>
    <row r="109" spans="1:29" ht="14.25" customHeight="1" x14ac:dyDescent="0.2">
      <c r="A109" s="262"/>
      <c r="B109" s="262"/>
      <c r="C109" s="262"/>
      <c r="D109" s="262"/>
      <c r="E109" s="291"/>
      <c r="F109" s="291"/>
      <c r="G109" s="279"/>
      <c r="H109" s="288" t="s">
        <v>206</v>
      </c>
      <c r="I109" s="315" t="s">
        <v>139</v>
      </c>
      <c r="J109" s="288">
        <v>2</v>
      </c>
      <c r="K109" s="288">
        <f>J109*G105</f>
        <v>2</v>
      </c>
      <c r="L109" s="145">
        <v>1</v>
      </c>
      <c r="M109" s="403" t="s">
        <v>140</v>
      </c>
      <c r="N109" s="147" t="s">
        <v>141</v>
      </c>
      <c r="O109" s="146">
        <v>1</v>
      </c>
      <c r="P109" s="146">
        <f t="shared" si="10"/>
        <v>1</v>
      </c>
      <c r="Q109" s="148">
        <f t="shared" si="11"/>
        <v>1</v>
      </c>
      <c r="R109" s="148">
        <f>Q109*5.7</f>
        <v>5.7</v>
      </c>
      <c r="S109" s="148" t="s">
        <v>214</v>
      </c>
      <c r="T109" s="128"/>
      <c r="U109" s="156"/>
      <c r="V109" s="157"/>
      <c r="W109" s="158"/>
      <c r="X109" s="157"/>
      <c r="Y109" s="157"/>
      <c r="Z109" s="157"/>
      <c r="AA109" s="157"/>
      <c r="AB109" s="157"/>
      <c r="AC109" s="159"/>
    </row>
    <row r="110" spans="1:29" ht="14.25" customHeight="1" x14ac:dyDescent="0.2">
      <c r="A110" s="262"/>
      <c r="B110" s="262"/>
      <c r="C110" s="262"/>
      <c r="D110" s="262"/>
      <c r="E110" s="291"/>
      <c r="F110" s="291"/>
      <c r="G110" s="279"/>
      <c r="H110" s="279"/>
      <c r="I110" s="316"/>
      <c r="J110" s="279"/>
      <c r="K110" s="279"/>
      <c r="L110" s="135">
        <v>2</v>
      </c>
      <c r="M110" s="401" t="s">
        <v>142</v>
      </c>
      <c r="N110" s="149" t="s">
        <v>143</v>
      </c>
      <c r="O110" s="120">
        <v>1</v>
      </c>
      <c r="P110" s="120">
        <f t="shared" si="10"/>
        <v>1</v>
      </c>
      <c r="Q110" s="150">
        <f t="shared" si="11"/>
        <v>1</v>
      </c>
      <c r="R110" s="150">
        <f>Q110*6.6</f>
        <v>6.6</v>
      </c>
      <c r="S110" s="150" t="s">
        <v>214</v>
      </c>
      <c r="T110" s="121"/>
      <c r="U110" s="156"/>
      <c r="V110" s="157"/>
      <c r="W110" s="158"/>
      <c r="X110" s="157"/>
      <c r="Y110" s="157"/>
      <c r="Z110" s="160"/>
      <c r="AA110" s="160"/>
      <c r="AB110" s="160"/>
      <c r="AC110" s="159"/>
    </row>
    <row r="111" spans="1:29" ht="14.25" customHeight="1" x14ac:dyDescent="0.2">
      <c r="A111" s="262"/>
      <c r="B111" s="262"/>
      <c r="C111" s="262"/>
      <c r="D111" s="262"/>
      <c r="E111" s="291"/>
      <c r="F111" s="291"/>
      <c r="G111" s="279"/>
      <c r="H111" s="279"/>
      <c r="I111" s="316"/>
      <c r="J111" s="279"/>
      <c r="K111" s="279"/>
      <c r="L111" s="135">
        <v>3</v>
      </c>
      <c r="M111" s="401" t="s">
        <v>144</v>
      </c>
      <c r="N111" s="136" t="s">
        <v>145</v>
      </c>
      <c r="O111" s="136">
        <f>4</f>
        <v>4</v>
      </c>
      <c r="P111" s="136">
        <f t="shared" si="10"/>
        <v>4</v>
      </c>
      <c r="Q111" s="150">
        <f t="shared" si="11"/>
        <v>4</v>
      </c>
      <c r="R111" s="150">
        <f>7.5*Q111</f>
        <v>30</v>
      </c>
      <c r="S111" s="150" t="s">
        <v>214</v>
      </c>
      <c r="T111" s="121"/>
      <c r="U111" s="161"/>
      <c r="V111" s="161"/>
      <c r="W111" s="161"/>
      <c r="X111" s="161"/>
      <c r="Y111" s="161"/>
      <c r="Z111" s="161"/>
      <c r="AA111" s="161"/>
      <c r="AB111" s="161"/>
      <c r="AC111" s="161"/>
    </row>
    <row r="112" spans="1:29" ht="14.25" customHeight="1" thickBot="1" x14ac:dyDescent="0.25">
      <c r="A112" s="262"/>
      <c r="B112" s="262"/>
      <c r="C112" s="262"/>
      <c r="D112" s="262"/>
      <c r="E112" s="291"/>
      <c r="F112" s="291"/>
      <c r="G112" s="279"/>
      <c r="H112" s="280"/>
      <c r="I112" s="317"/>
      <c r="J112" s="280"/>
      <c r="K112" s="280"/>
      <c r="L112" s="137">
        <v>4</v>
      </c>
      <c r="M112" s="402" t="s">
        <v>146</v>
      </c>
      <c r="N112" s="151" t="s">
        <v>147</v>
      </c>
      <c r="O112" s="167" t="str">
        <f>IF(B105=30,"6",IF(B105=25,"5",IF(B105=20,"4",IF(B105=15,"3"))))</f>
        <v>6</v>
      </c>
      <c r="P112" s="125">
        <f t="shared" si="10"/>
        <v>6</v>
      </c>
      <c r="Q112" s="144">
        <f t="shared" si="11"/>
        <v>6</v>
      </c>
      <c r="R112" s="144">
        <f>Q112*0.52</f>
        <v>3.12</v>
      </c>
      <c r="S112" s="144" t="s">
        <v>214</v>
      </c>
      <c r="T112" s="130"/>
      <c r="U112" s="161"/>
      <c r="V112" s="161"/>
      <c r="W112" s="161"/>
      <c r="X112" s="161"/>
      <c r="Y112" s="161"/>
      <c r="Z112" s="161"/>
      <c r="AA112" s="161"/>
      <c r="AB112" s="161"/>
      <c r="AC112" s="161"/>
    </row>
    <row r="113" spans="1:29" ht="14.25" customHeight="1" x14ac:dyDescent="0.2">
      <c r="A113" s="262"/>
      <c r="B113" s="262"/>
      <c r="C113" s="262"/>
      <c r="D113" s="262"/>
      <c r="E113" s="291"/>
      <c r="F113" s="291"/>
      <c r="G113" s="279"/>
      <c r="H113" s="292" t="s">
        <v>207</v>
      </c>
      <c r="I113" s="318" t="s">
        <v>296</v>
      </c>
      <c r="J113" s="292">
        <v>1</v>
      </c>
      <c r="K113" s="292">
        <f>J113*G105</f>
        <v>1</v>
      </c>
      <c r="L113" s="140">
        <v>1</v>
      </c>
      <c r="M113" s="404" t="s">
        <v>149</v>
      </c>
      <c r="N113" s="168" t="str">
        <f>IF(B105=30,"UPN40,L=6600",IF(B105=20,"UPN40,L=4600",IF(B105=25,"UPN40,L=5600",IF(B105=15,"UPN40,L=3600"))))</f>
        <v>UPN40,L=6600</v>
      </c>
      <c r="O113" s="141">
        <v>1</v>
      </c>
      <c r="P113" s="141">
        <f t="shared" si="10"/>
        <v>1</v>
      </c>
      <c r="Q113" s="152">
        <f t="shared" si="11"/>
        <v>1</v>
      </c>
      <c r="R113" s="31">
        <f>(IF(B105=30,"12.4",IF(B105=20,"8.7",IF(B105=25,"10.6",IF(B105=15,"6.8")))))*Q113</f>
        <v>12.4</v>
      </c>
      <c r="S113" s="152" t="s">
        <v>214</v>
      </c>
      <c r="T113" s="133"/>
      <c r="U113" s="161"/>
      <c r="V113" s="161"/>
      <c r="W113" s="161"/>
      <c r="X113" s="161"/>
      <c r="Y113" s="161"/>
      <c r="Z113" s="161"/>
      <c r="AA113" s="161"/>
      <c r="AB113" s="161"/>
      <c r="AC113" s="161"/>
    </row>
    <row r="114" spans="1:29" ht="14.25" customHeight="1" thickBot="1" x14ac:dyDescent="0.25">
      <c r="A114" s="262"/>
      <c r="B114" s="262"/>
      <c r="C114" s="262"/>
      <c r="D114" s="262"/>
      <c r="E114" s="291"/>
      <c r="F114" s="291"/>
      <c r="G114" s="279"/>
      <c r="H114" s="293"/>
      <c r="I114" s="319"/>
      <c r="J114" s="293"/>
      <c r="K114" s="293"/>
      <c r="L114" s="137">
        <v>2</v>
      </c>
      <c r="M114" s="402" t="s">
        <v>150</v>
      </c>
      <c r="N114" s="139" t="s">
        <v>151</v>
      </c>
      <c r="O114" s="138">
        <v>6</v>
      </c>
      <c r="P114" s="138">
        <f t="shared" si="10"/>
        <v>6</v>
      </c>
      <c r="Q114" s="144">
        <f t="shared" si="11"/>
        <v>6</v>
      </c>
      <c r="R114" s="144">
        <f>0.1*Q114</f>
        <v>0.60000000000000009</v>
      </c>
      <c r="S114" s="144" t="s">
        <v>214</v>
      </c>
      <c r="T114" s="130"/>
      <c r="U114" s="161"/>
      <c r="V114" s="161"/>
      <c r="W114" s="161"/>
      <c r="X114" s="161"/>
      <c r="Y114" s="161"/>
      <c r="Z114" s="161"/>
      <c r="AA114" s="161"/>
      <c r="AB114" s="161"/>
      <c r="AC114" s="161"/>
    </row>
    <row r="115" spans="1:29" ht="14.25" customHeight="1" x14ac:dyDescent="0.2">
      <c r="A115" s="262"/>
      <c r="B115" s="262"/>
      <c r="C115" s="262"/>
      <c r="D115" s="262"/>
      <c r="E115" s="291"/>
      <c r="F115" s="291"/>
      <c r="G115" s="279"/>
      <c r="H115" s="286" t="s">
        <v>208</v>
      </c>
      <c r="I115" s="288" t="s">
        <v>299</v>
      </c>
      <c r="J115" s="288" t="str">
        <f>J105</f>
        <v>18</v>
      </c>
      <c r="K115" s="288">
        <f>J115*G105</f>
        <v>18</v>
      </c>
      <c r="L115" s="145">
        <v>1</v>
      </c>
      <c r="M115" s="405" t="s">
        <v>152</v>
      </c>
      <c r="N115" s="165" t="s">
        <v>153</v>
      </c>
      <c r="O115" s="146" t="str">
        <f>J115</f>
        <v>18</v>
      </c>
      <c r="P115" s="146">
        <f t="shared" si="10"/>
        <v>18</v>
      </c>
      <c r="Q115" s="146">
        <f t="shared" si="11"/>
        <v>18</v>
      </c>
      <c r="R115" s="146">
        <f>Q115</f>
        <v>18</v>
      </c>
      <c r="S115" s="148" t="s">
        <v>215</v>
      </c>
      <c r="T115" s="128"/>
      <c r="U115" s="156"/>
      <c r="V115" s="158"/>
      <c r="W115" s="158"/>
      <c r="X115" s="162"/>
      <c r="Y115" s="162"/>
      <c r="Z115" s="160"/>
      <c r="AA115" s="160"/>
      <c r="AB115" s="160"/>
      <c r="AC115" s="159"/>
    </row>
    <row r="116" spans="1:29" ht="14.25" customHeight="1" thickBot="1" x14ac:dyDescent="0.25">
      <c r="A116" s="262"/>
      <c r="B116" s="262"/>
      <c r="C116" s="262"/>
      <c r="D116" s="262"/>
      <c r="E116" s="291"/>
      <c r="F116" s="291"/>
      <c r="G116" s="279"/>
      <c r="H116" s="287"/>
      <c r="I116" s="280"/>
      <c r="J116" s="280"/>
      <c r="K116" s="280"/>
      <c r="L116" s="137">
        <v>2</v>
      </c>
      <c r="M116" s="406" t="s">
        <v>154</v>
      </c>
      <c r="N116" s="139" t="s">
        <v>155</v>
      </c>
      <c r="O116" s="138" t="str">
        <f>O115</f>
        <v>18</v>
      </c>
      <c r="P116" s="138">
        <f t="shared" si="10"/>
        <v>18</v>
      </c>
      <c r="Q116" s="138">
        <f t="shared" si="11"/>
        <v>18</v>
      </c>
      <c r="R116" s="138">
        <f>0.8*Q116</f>
        <v>14.4</v>
      </c>
      <c r="S116" s="144" t="s">
        <v>214</v>
      </c>
      <c r="T116" s="130"/>
      <c r="U116" s="156"/>
      <c r="V116" s="157"/>
      <c r="W116" s="158"/>
      <c r="X116" s="157"/>
      <c r="Y116" s="157"/>
      <c r="Z116" s="160"/>
      <c r="AA116" s="160"/>
      <c r="AB116" s="160"/>
      <c r="AC116" s="159"/>
    </row>
    <row r="117" spans="1:29" ht="15" customHeight="1" x14ac:dyDescent="0.2">
      <c r="A117" s="262"/>
      <c r="B117" s="262"/>
      <c r="C117" s="262"/>
      <c r="D117" s="262"/>
      <c r="E117" s="291"/>
      <c r="F117" s="291"/>
      <c r="G117" s="279"/>
      <c r="H117" s="286" t="s">
        <v>209</v>
      </c>
      <c r="I117" s="288" t="s">
        <v>308</v>
      </c>
      <c r="J117" s="288" t="str">
        <f>IF(B105=30,"12",IF(B105=25,"10",IF(B105=20,"8",IF(B105=15,"6"))))</f>
        <v>12</v>
      </c>
      <c r="K117" s="288">
        <f>G105*J117</f>
        <v>12</v>
      </c>
      <c r="L117" s="145">
        <v>1</v>
      </c>
      <c r="M117" s="405" t="s">
        <v>136</v>
      </c>
      <c r="N117" s="175" t="str">
        <f>IF(B105=30,"4x162x1415",IF(B105=25,"4x162x1165",IF(B105=20,"4x162x915",IF(B105=15,"4x162x665"))))</f>
        <v>4x162x1415</v>
      </c>
      <c r="O117" s="146">
        <f t="shared" ref="O117" si="12">2*$J$105</f>
        <v>36</v>
      </c>
      <c r="P117" s="146">
        <f t="shared" ref="P117" si="13">O117*$F$105</f>
        <v>36</v>
      </c>
      <c r="Q117" s="146">
        <f t="shared" ref="Q117" si="14">P117*$C$105</f>
        <v>36</v>
      </c>
      <c r="R117" s="175">
        <f>(IF(B105=30,"7.2",IF(B105=25,"5.9",IF(B105=20,"4.6",IF(B105=15,"3.3")))))*Q117</f>
        <v>259.2</v>
      </c>
      <c r="S117" s="148" t="s">
        <v>214</v>
      </c>
      <c r="T117" s="128"/>
      <c r="U117" s="161"/>
      <c r="V117" s="161"/>
      <c r="W117" s="161"/>
      <c r="X117" s="161"/>
      <c r="Y117" s="161"/>
      <c r="Z117" s="161"/>
      <c r="AA117" s="161"/>
      <c r="AB117" s="161"/>
      <c r="AC117" s="161"/>
    </row>
    <row r="118" spans="1:29" ht="14.25" customHeight="1" thickBot="1" x14ac:dyDescent="0.25">
      <c r="A118" s="262"/>
      <c r="B118" s="262"/>
      <c r="C118" s="262"/>
      <c r="D118" s="262"/>
      <c r="E118" s="291"/>
      <c r="F118" s="291"/>
      <c r="G118" s="279"/>
      <c r="H118" s="287"/>
      <c r="I118" s="280"/>
      <c r="J118" s="280"/>
      <c r="K118" s="280"/>
      <c r="L118" s="137">
        <v>2</v>
      </c>
      <c r="M118" s="406" t="s">
        <v>165</v>
      </c>
      <c r="N118" s="171" t="s">
        <v>166</v>
      </c>
      <c r="O118" s="138">
        <f>2*J117</f>
        <v>24</v>
      </c>
      <c r="P118" s="138">
        <f>O118*F105</f>
        <v>24</v>
      </c>
      <c r="Q118" s="144">
        <f>P118*C105</f>
        <v>24</v>
      </c>
      <c r="R118" s="144">
        <f>0.088*Q118</f>
        <v>2.1120000000000001</v>
      </c>
      <c r="S118" s="144" t="s">
        <v>214</v>
      </c>
      <c r="T118" s="130"/>
      <c r="U118" s="161"/>
      <c r="V118" s="161"/>
      <c r="W118" s="161"/>
      <c r="X118" s="161"/>
      <c r="Y118" s="161"/>
      <c r="Z118" s="161"/>
      <c r="AA118" s="161"/>
      <c r="AB118" s="161"/>
      <c r="AC118" s="161"/>
    </row>
    <row r="119" spans="1:29" ht="14.25" customHeight="1" x14ac:dyDescent="0.2">
      <c r="A119" s="262"/>
      <c r="B119" s="262"/>
      <c r="C119" s="262"/>
      <c r="D119" s="262"/>
      <c r="E119" s="291"/>
      <c r="F119" s="291"/>
      <c r="G119" s="279"/>
      <c r="H119" s="155"/>
      <c r="I119" s="169" t="s">
        <v>210</v>
      </c>
      <c r="J119" s="155"/>
      <c r="K119" s="155"/>
      <c r="L119" s="140">
        <v>1</v>
      </c>
      <c r="M119" s="407" t="s">
        <v>210</v>
      </c>
      <c r="N119" s="142" t="s">
        <v>145</v>
      </c>
      <c r="O119" s="142">
        <f>IF(E105="درام5100",2,0)</f>
        <v>2</v>
      </c>
      <c r="P119" s="132">
        <f>O119*$F$105</f>
        <v>2</v>
      </c>
      <c r="Q119" s="152">
        <f>P119*$C$105</f>
        <v>2</v>
      </c>
      <c r="R119" s="152">
        <f>7.5*Q119</f>
        <v>15</v>
      </c>
      <c r="S119" s="152" t="s">
        <v>214</v>
      </c>
      <c r="T119" s="133"/>
      <c r="U119" s="156"/>
    </row>
    <row r="120" spans="1:29" ht="14.25" customHeight="1" x14ac:dyDescent="0.2">
      <c r="A120" s="262"/>
      <c r="B120" s="262"/>
      <c r="C120" s="262"/>
      <c r="D120" s="262"/>
      <c r="E120" s="291"/>
      <c r="F120" s="291"/>
      <c r="G120" s="279"/>
      <c r="H120" s="164"/>
      <c r="I120" s="120" t="s">
        <v>148</v>
      </c>
      <c r="J120" s="164"/>
      <c r="K120" s="164"/>
      <c r="L120" s="135">
        <v>2</v>
      </c>
      <c r="M120" s="401" t="s">
        <v>148</v>
      </c>
      <c r="N120" s="74" t="str">
        <f>IF(B105=30,"1.5x1000x4000",IF(B105=25,"1.5x1250x2500",IF(B105=20,"1.5x1000x2000",IF(B105=15,"1.5x1000x1500"))))</f>
        <v>1.5x1000x4000</v>
      </c>
      <c r="O120" s="120">
        <v>2</v>
      </c>
      <c r="P120" s="120">
        <f>O120*$F$105</f>
        <v>2</v>
      </c>
      <c r="Q120" s="150">
        <f>P120*$C$105</f>
        <v>2</v>
      </c>
      <c r="R120" s="74">
        <f>(IF(B105=30,"41.6",IF(B105=25,"28.9",IF(B105=20,"18.5",IF(B105=15,"10.4")))))*Q120</f>
        <v>83.2</v>
      </c>
      <c r="S120" s="150" t="s">
        <v>214</v>
      </c>
      <c r="T120" s="121"/>
      <c r="U120" s="156"/>
    </row>
    <row r="121" spans="1:29" ht="14.25" customHeight="1" x14ac:dyDescent="0.2">
      <c r="A121" s="262"/>
      <c r="B121" s="262"/>
      <c r="C121" s="262"/>
      <c r="D121" s="262"/>
      <c r="E121" s="291"/>
      <c r="F121" s="291"/>
      <c r="G121" s="279"/>
      <c r="H121" s="135" t="s">
        <v>34</v>
      </c>
      <c r="I121" s="120" t="s">
        <v>137</v>
      </c>
      <c r="J121" s="135" t="s">
        <v>34</v>
      </c>
      <c r="K121" s="135" t="s">
        <v>34</v>
      </c>
      <c r="L121" s="135">
        <v>3</v>
      </c>
      <c r="M121" s="401" t="s">
        <v>137</v>
      </c>
      <c r="N121" s="136" t="s">
        <v>138</v>
      </c>
      <c r="O121" s="120" t="str">
        <f>IF((AND(B105=30,E105="درام3400")),"12",IF((AND(B105=25,E105="درام3400")),"10",IF((AND(B105=20,E105="درام3400")),"8",IF((AND(B105=15,E105="درام3400")),"6",IF((AND(B105=30,E105="درام5100")),"36",IF((AND(B105=25,E105="درام5100")),"30",IF((AND(B105=20,E105="درام5100")),"24",IF((AND(B105=15,E105="درام5100")),"18"))))))))</f>
        <v>36</v>
      </c>
      <c r="P121" s="120">
        <f t="shared" si="10"/>
        <v>36</v>
      </c>
      <c r="Q121" s="150">
        <f t="shared" si="11"/>
        <v>36</v>
      </c>
      <c r="R121" s="150">
        <f>1.3*Q121</f>
        <v>46.800000000000004</v>
      </c>
      <c r="S121" s="150" t="s">
        <v>214</v>
      </c>
      <c r="T121" s="121"/>
      <c r="U121" s="156"/>
      <c r="V121" s="157"/>
      <c r="W121" s="158"/>
      <c r="X121" s="157"/>
      <c r="Y121" s="157"/>
      <c r="Z121" s="157"/>
      <c r="AA121" s="157"/>
      <c r="AB121" s="157"/>
      <c r="AC121" s="159"/>
    </row>
    <row r="122" spans="1:29" ht="14.25" customHeight="1" x14ac:dyDescent="0.2">
      <c r="A122" s="262"/>
      <c r="B122" s="262"/>
      <c r="C122" s="262"/>
      <c r="D122" s="262"/>
      <c r="E122" s="291"/>
      <c r="F122" s="291"/>
      <c r="G122" s="279"/>
      <c r="H122" s="135" t="s">
        <v>34</v>
      </c>
      <c r="I122" s="120" t="s">
        <v>156</v>
      </c>
      <c r="J122" s="135" t="s">
        <v>34</v>
      </c>
      <c r="K122" s="135" t="s">
        <v>34</v>
      </c>
      <c r="L122" s="135">
        <v>4</v>
      </c>
      <c r="M122" s="408" t="s">
        <v>156</v>
      </c>
      <c r="N122" s="136" t="s">
        <v>157</v>
      </c>
      <c r="O122" s="120" t="str">
        <f>IF((AND(B105=30,E105="درام3400")),"12",IF((AND(B105=25,E105="درام3400")),"10",IF((AND(B105=20,E105="درام3400")),"8",IF((AND(B105=15,E105="درام3400")),"6",IF((AND(B105=30,E105="درام5100")),"18",IF((AND(B105=25,E105="درام5100")),"15",IF((AND(B105=20,E105="درام5100")),"12",IF((AND(B105=15,E105="درام5100")),"9"))))))))</f>
        <v>18</v>
      </c>
      <c r="P122" s="120">
        <f t="shared" si="10"/>
        <v>18</v>
      </c>
      <c r="Q122" s="120">
        <f t="shared" si="11"/>
        <v>18</v>
      </c>
      <c r="R122" s="120">
        <f>2.6*Q122</f>
        <v>46.800000000000004</v>
      </c>
      <c r="S122" s="150" t="s">
        <v>214</v>
      </c>
      <c r="T122" s="121"/>
      <c r="U122" s="156"/>
      <c r="V122" s="157"/>
      <c r="W122" s="158"/>
      <c r="X122" s="157"/>
      <c r="Y122" s="157"/>
      <c r="Z122" s="157"/>
      <c r="AA122" s="157"/>
      <c r="AB122" s="157"/>
      <c r="AC122" s="159"/>
    </row>
    <row r="123" spans="1:29" ht="14.25" customHeight="1" x14ac:dyDescent="0.2">
      <c r="A123" s="263"/>
      <c r="B123" s="263"/>
      <c r="C123" s="263"/>
      <c r="D123" s="263"/>
      <c r="E123" s="276"/>
      <c r="F123" s="276"/>
      <c r="G123" s="289"/>
      <c r="H123" s="135" t="s">
        <v>34</v>
      </c>
      <c r="I123" s="120" t="s">
        <v>158</v>
      </c>
      <c r="J123" s="135" t="s">
        <v>34</v>
      </c>
      <c r="K123" s="135" t="s">
        <v>34</v>
      </c>
      <c r="L123" s="135">
        <v>5</v>
      </c>
      <c r="M123" s="401" t="s">
        <v>158</v>
      </c>
      <c r="N123" s="74" t="str">
        <f>IF(B105=30,"1x32x9600",IF(B105=25,"1x32x8000",IF(B105=20,"1x32x6500",IF(B105=15,"1x32x5000"))))</f>
        <v>1x32x9600</v>
      </c>
      <c r="O123" s="120">
        <f>IF(E105="درام5100",6,4)</f>
        <v>6</v>
      </c>
      <c r="P123" s="120">
        <f t="shared" si="10"/>
        <v>6</v>
      </c>
      <c r="Q123" s="120">
        <f t="shared" si="11"/>
        <v>6</v>
      </c>
      <c r="R123" s="120">
        <f>(IF(B105=30,"2.4",IF(B105=25,"2",IF(B105=20,"1.6",IF(B105=15,"1.2")))))*Q123</f>
        <v>14.399999999999999</v>
      </c>
      <c r="S123" s="120" t="s">
        <v>214</v>
      </c>
      <c r="T123" s="134"/>
      <c r="U123" s="156"/>
      <c r="V123" s="157"/>
      <c r="W123" s="158"/>
      <c r="X123" s="157"/>
      <c r="Y123" s="157"/>
      <c r="Z123" s="157"/>
      <c r="AA123" s="157"/>
      <c r="AB123" s="157"/>
      <c r="AC123" s="163"/>
    </row>
    <row r="124" spans="1:29" x14ac:dyDescent="0.2">
      <c r="U124" s="161"/>
      <c r="V124" s="161"/>
      <c r="W124" s="161"/>
      <c r="X124" s="161"/>
      <c r="Y124" s="161"/>
      <c r="Z124" s="161"/>
      <c r="AA124" s="161"/>
      <c r="AB124" s="161"/>
      <c r="AC124" s="161"/>
    </row>
    <row r="133" spans="1:20" ht="12" customHeight="1" x14ac:dyDescent="0.2"/>
    <row r="134" spans="1:20" ht="6" customHeight="1" x14ac:dyDescent="0.2"/>
    <row r="135" spans="1:20" ht="19.5" x14ac:dyDescent="0.2">
      <c r="A135" s="256" t="s">
        <v>0</v>
      </c>
      <c r="B135" s="257"/>
      <c r="C135" s="257"/>
      <c r="D135" s="9"/>
      <c r="E135" s="10"/>
      <c r="F135" s="10" t="s">
        <v>14</v>
      </c>
      <c r="G135" s="11"/>
      <c r="H135" s="10"/>
      <c r="I135" s="10" t="s">
        <v>13</v>
      </c>
      <c r="J135" s="10"/>
      <c r="K135" s="11"/>
      <c r="L135" s="9"/>
      <c r="M135" s="10"/>
      <c r="N135" s="6" t="s">
        <v>1</v>
      </c>
      <c r="O135" s="10"/>
      <c r="P135" s="10"/>
      <c r="Q135" s="10"/>
      <c r="R135" s="71"/>
      <c r="S135" s="71"/>
      <c r="T135" s="15" t="s">
        <v>15</v>
      </c>
    </row>
    <row r="136" spans="1:20" ht="45" x14ac:dyDescent="0.2">
      <c r="A136" s="17" t="s">
        <v>2</v>
      </c>
      <c r="B136" s="17" t="s">
        <v>211</v>
      </c>
      <c r="C136" s="3" t="s">
        <v>3</v>
      </c>
      <c r="D136" s="12" t="s">
        <v>4</v>
      </c>
      <c r="E136" s="13" t="s">
        <v>5</v>
      </c>
      <c r="F136" s="12" t="s">
        <v>6</v>
      </c>
      <c r="G136" s="12" t="s">
        <v>3</v>
      </c>
      <c r="H136" s="3" t="s">
        <v>10</v>
      </c>
      <c r="I136" s="3" t="s">
        <v>5</v>
      </c>
      <c r="J136" s="3" t="s">
        <v>12</v>
      </c>
      <c r="K136" s="3" t="s">
        <v>11</v>
      </c>
      <c r="L136" s="1" t="s">
        <v>7</v>
      </c>
      <c r="M136" s="2" t="s">
        <v>5</v>
      </c>
      <c r="N136" s="2" t="s">
        <v>9</v>
      </c>
      <c r="O136" s="3" t="s">
        <v>8</v>
      </c>
      <c r="P136" s="3" t="s">
        <v>6</v>
      </c>
      <c r="Q136" s="14" t="s">
        <v>3</v>
      </c>
      <c r="R136" s="14" t="s">
        <v>212</v>
      </c>
      <c r="S136" s="14" t="s">
        <v>213</v>
      </c>
      <c r="T136" s="3" t="s">
        <v>16</v>
      </c>
    </row>
    <row r="137" spans="1:20" ht="12.95" customHeight="1" x14ac:dyDescent="0.2">
      <c r="A137" s="305" t="s">
        <v>208</v>
      </c>
      <c r="B137" s="305">
        <v>20</v>
      </c>
      <c r="C137" s="305" t="s">
        <v>18</v>
      </c>
      <c r="D137" s="305" t="s">
        <v>207</v>
      </c>
      <c r="E137" s="312" t="s">
        <v>298</v>
      </c>
      <c r="F137" s="290" t="s">
        <v>18</v>
      </c>
      <c r="G137" s="278">
        <f>C137*F137</f>
        <v>1</v>
      </c>
      <c r="H137" s="170" t="s">
        <v>34</v>
      </c>
      <c r="I137" s="120" t="s">
        <v>159</v>
      </c>
      <c r="J137" s="170" t="s">
        <v>34</v>
      </c>
      <c r="K137" s="170" t="s">
        <v>34</v>
      </c>
      <c r="L137" s="135">
        <v>6</v>
      </c>
      <c r="M137" s="401" t="s">
        <v>159</v>
      </c>
      <c r="N137" s="136" t="s">
        <v>34</v>
      </c>
      <c r="O137" s="120">
        <f>O123</f>
        <v>6</v>
      </c>
      <c r="P137" s="120">
        <f>O137*$F$137</f>
        <v>6</v>
      </c>
      <c r="Q137" s="170">
        <f>P137*$C$137</f>
        <v>6</v>
      </c>
      <c r="R137" s="170">
        <f>Q137</f>
        <v>6</v>
      </c>
      <c r="S137" s="173" t="s">
        <v>215</v>
      </c>
      <c r="T137" s="5"/>
    </row>
    <row r="138" spans="1:20" ht="12.95" customHeight="1" x14ac:dyDescent="0.2">
      <c r="A138" s="306"/>
      <c r="B138" s="306"/>
      <c r="C138" s="306"/>
      <c r="D138" s="306"/>
      <c r="E138" s="313"/>
      <c r="F138" s="291"/>
      <c r="G138" s="279"/>
      <c r="H138" s="153" t="s">
        <v>34</v>
      </c>
      <c r="I138" s="141" t="s">
        <v>160</v>
      </c>
      <c r="J138" s="153" t="s">
        <v>34</v>
      </c>
      <c r="K138" s="153" t="s">
        <v>34</v>
      </c>
      <c r="L138" s="140">
        <v>7</v>
      </c>
      <c r="M138" s="404" t="s">
        <v>160</v>
      </c>
      <c r="N138" s="136" t="s">
        <v>310</v>
      </c>
      <c r="O138" s="120">
        <f>O137</f>
        <v>6</v>
      </c>
      <c r="P138" s="120">
        <f t="shared" ref="P138:P155" si="15">O138*$F$137</f>
        <v>6</v>
      </c>
      <c r="Q138" s="152">
        <f t="shared" ref="Q138:Q155" si="16">P138*$C$137</f>
        <v>6</v>
      </c>
      <c r="R138" s="152">
        <f>Q138</f>
        <v>6</v>
      </c>
      <c r="S138" s="152" t="s">
        <v>215</v>
      </c>
      <c r="T138" s="5"/>
    </row>
    <row r="139" spans="1:20" ht="12.95" customHeight="1" x14ac:dyDescent="0.2">
      <c r="A139" s="306"/>
      <c r="B139" s="306"/>
      <c r="C139" s="306"/>
      <c r="D139" s="306"/>
      <c r="E139" s="313"/>
      <c r="F139" s="291"/>
      <c r="G139" s="279"/>
      <c r="H139" s="153" t="s">
        <v>34</v>
      </c>
      <c r="I139" s="120" t="s">
        <v>162</v>
      </c>
      <c r="J139" s="153" t="s">
        <v>34</v>
      </c>
      <c r="K139" s="153" t="s">
        <v>34</v>
      </c>
      <c r="L139" s="135">
        <v>8</v>
      </c>
      <c r="M139" s="401" t="s">
        <v>162</v>
      </c>
      <c r="N139" s="136" t="s">
        <v>310</v>
      </c>
      <c r="O139" s="120">
        <f>O138</f>
        <v>6</v>
      </c>
      <c r="P139" s="120">
        <f t="shared" si="15"/>
        <v>6</v>
      </c>
      <c r="Q139" s="150">
        <f t="shared" si="16"/>
        <v>6</v>
      </c>
      <c r="R139" s="150">
        <f>Q139</f>
        <v>6</v>
      </c>
      <c r="S139" s="150" t="s">
        <v>215</v>
      </c>
      <c r="T139" s="5"/>
    </row>
    <row r="140" spans="1:20" ht="12.95" customHeight="1" thickBot="1" x14ac:dyDescent="0.25">
      <c r="A140" s="306"/>
      <c r="B140" s="306"/>
      <c r="C140" s="306"/>
      <c r="D140" s="306"/>
      <c r="E140" s="313"/>
      <c r="F140" s="291"/>
      <c r="G140" s="279"/>
      <c r="H140" s="143" t="s">
        <v>34</v>
      </c>
      <c r="I140" s="138" t="s">
        <v>163</v>
      </c>
      <c r="J140" s="143" t="s">
        <v>34</v>
      </c>
      <c r="K140" s="143" t="s">
        <v>34</v>
      </c>
      <c r="L140" s="137">
        <v>9</v>
      </c>
      <c r="M140" s="402" t="s">
        <v>163</v>
      </c>
      <c r="N140" s="139" t="s">
        <v>164</v>
      </c>
      <c r="O140" s="138" t="str">
        <f>J105</f>
        <v>18</v>
      </c>
      <c r="P140" s="138">
        <f t="shared" si="15"/>
        <v>18</v>
      </c>
      <c r="Q140" s="144">
        <f t="shared" si="16"/>
        <v>18</v>
      </c>
      <c r="R140" s="144">
        <f>Q140</f>
        <v>18</v>
      </c>
      <c r="S140" s="144" t="s">
        <v>215</v>
      </c>
      <c r="T140" s="52"/>
    </row>
    <row r="141" spans="1:20" ht="12.95" customHeight="1" x14ac:dyDescent="0.2">
      <c r="A141" s="306"/>
      <c r="B141" s="306"/>
      <c r="C141" s="306"/>
      <c r="D141" s="306"/>
      <c r="E141" s="313"/>
      <c r="F141" s="291"/>
      <c r="G141" s="279"/>
      <c r="H141" s="266" t="s">
        <v>309</v>
      </c>
      <c r="I141" s="296" t="s">
        <v>51</v>
      </c>
      <c r="J141" s="296">
        <v>1</v>
      </c>
      <c r="K141" s="296">
        <f>J141*G137</f>
        <v>1</v>
      </c>
      <c r="L141" s="140">
        <v>1</v>
      </c>
      <c r="M141" s="404" t="s">
        <v>167</v>
      </c>
      <c r="N141" s="142" t="s">
        <v>168</v>
      </c>
      <c r="O141" s="31" t="str">
        <f>IF(B137=30,"24",IF(B137=20,"16",IF(B137=25,"20",IF(B137=15,"12"))))</f>
        <v>16</v>
      </c>
      <c r="P141" s="141">
        <f t="shared" si="15"/>
        <v>16</v>
      </c>
      <c r="Q141" s="152">
        <f t="shared" si="16"/>
        <v>16</v>
      </c>
      <c r="R141" s="152">
        <f t="shared" ref="R141:R154" si="17">Q141</f>
        <v>16</v>
      </c>
      <c r="S141" s="152" t="s">
        <v>215</v>
      </c>
      <c r="T141" s="16"/>
    </row>
    <row r="142" spans="1:20" ht="12.95" customHeight="1" x14ac:dyDescent="0.2">
      <c r="A142" s="306"/>
      <c r="B142" s="306"/>
      <c r="C142" s="306"/>
      <c r="D142" s="306"/>
      <c r="E142" s="313"/>
      <c r="F142" s="291"/>
      <c r="G142" s="279"/>
      <c r="H142" s="266"/>
      <c r="I142" s="296"/>
      <c r="J142" s="296"/>
      <c r="K142" s="296"/>
      <c r="L142" s="135">
        <v>2</v>
      </c>
      <c r="M142" s="401" t="s">
        <v>169</v>
      </c>
      <c r="N142" s="136" t="s">
        <v>170</v>
      </c>
      <c r="O142" s="120" t="str">
        <f>O141</f>
        <v>16</v>
      </c>
      <c r="P142" s="120">
        <f t="shared" si="15"/>
        <v>16</v>
      </c>
      <c r="Q142" s="150">
        <f t="shared" si="16"/>
        <v>16</v>
      </c>
      <c r="R142" s="150">
        <f t="shared" si="17"/>
        <v>16</v>
      </c>
      <c r="S142" s="150" t="s">
        <v>215</v>
      </c>
      <c r="T142" s="5"/>
    </row>
    <row r="143" spans="1:20" ht="12.95" customHeight="1" x14ac:dyDescent="0.2">
      <c r="A143" s="306"/>
      <c r="B143" s="306"/>
      <c r="C143" s="306"/>
      <c r="D143" s="306"/>
      <c r="E143" s="313"/>
      <c r="F143" s="291"/>
      <c r="G143" s="279"/>
      <c r="H143" s="266"/>
      <c r="I143" s="296"/>
      <c r="J143" s="296"/>
      <c r="K143" s="296"/>
      <c r="L143" s="140">
        <v>3</v>
      </c>
      <c r="M143" s="401" t="s">
        <v>171</v>
      </c>
      <c r="N143" s="136" t="s">
        <v>172</v>
      </c>
      <c r="O143" s="120" t="str">
        <f>O142</f>
        <v>16</v>
      </c>
      <c r="P143" s="120">
        <f t="shared" si="15"/>
        <v>16</v>
      </c>
      <c r="Q143" s="172">
        <f t="shared" si="16"/>
        <v>16</v>
      </c>
      <c r="R143" s="172">
        <f t="shared" si="17"/>
        <v>16</v>
      </c>
      <c r="S143" s="172" t="s">
        <v>215</v>
      </c>
      <c r="T143" s="5"/>
    </row>
    <row r="144" spans="1:20" ht="12.95" customHeight="1" x14ac:dyDescent="0.2">
      <c r="A144" s="306"/>
      <c r="B144" s="306"/>
      <c r="C144" s="306"/>
      <c r="D144" s="306"/>
      <c r="E144" s="313"/>
      <c r="F144" s="291"/>
      <c r="G144" s="279"/>
      <c r="H144" s="266"/>
      <c r="I144" s="296"/>
      <c r="J144" s="296"/>
      <c r="K144" s="296"/>
      <c r="L144" s="135">
        <v>4</v>
      </c>
      <c r="M144" s="404" t="s">
        <v>173</v>
      </c>
      <c r="N144" s="142" t="s">
        <v>49</v>
      </c>
      <c r="O144" s="141" t="str">
        <f>O121</f>
        <v>36</v>
      </c>
      <c r="P144" s="141">
        <f t="shared" si="15"/>
        <v>36</v>
      </c>
      <c r="Q144" s="150">
        <f t="shared" si="16"/>
        <v>36</v>
      </c>
      <c r="R144" s="150">
        <f t="shared" si="17"/>
        <v>36</v>
      </c>
      <c r="S144" s="150" t="s">
        <v>215</v>
      </c>
      <c r="T144" s="5"/>
    </row>
    <row r="145" spans="1:20" ht="12.95" customHeight="1" x14ac:dyDescent="0.2">
      <c r="A145" s="306"/>
      <c r="B145" s="306"/>
      <c r="C145" s="306"/>
      <c r="D145" s="306"/>
      <c r="E145" s="313"/>
      <c r="F145" s="291"/>
      <c r="G145" s="279"/>
      <c r="H145" s="266"/>
      <c r="I145" s="296"/>
      <c r="J145" s="296"/>
      <c r="K145" s="296"/>
      <c r="L145" s="140">
        <v>5</v>
      </c>
      <c r="M145" s="401" t="s">
        <v>174</v>
      </c>
      <c r="N145" s="136" t="s">
        <v>124</v>
      </c>
      <c r="O145" s="120" t="str">
        <f>O144</f>
        <v>36</v>
      </c>
      <c r="P145" s="120">
        <f t="shared" si="15"/>
        <v>36</v>
      </c>
      <c r="Q145" s="152">
        <f t="shared" si="16"/>
        <v>36</v>
      </c>
      <c r="R145" s="152">
        <f t="shared" si="17"/>
        <v>36</v>
      </c>
      <c r="S145" s="152" t="s">
        <v>215</v>
      </c>
      <c r="T145" s="5"/>
    </row>
    <row r="146" spans="1:20" ht="12.95" customHeight="1" x14ac:dyDescent="0.2">
      <c r="A146" s="306"/>
      <c r="B146" s="306"/>
      <c r="C146" s="306"/>
      <c r="D146" s="306"/>
      <c r="E146" s="313"/>
      <c r="F146" s="291"/>
      <c r="G146" s="279"/>
      <c r="H146" s="266"/>
      <c r="I146" s="296"/>
      <c r="J146" s="296"/>
      <c r="K146" s="296"/>
      <c r="L146" s="135">
        <v>6</v>
      </c>
      <c r="M146" s="401" t="s">
        <v>175</v>
      </c>
      <c r="N146" s="136" t="s">
        <v>122</v>
      </c>
      <c r="O146" s="120">
        <f>J105*11</f>
        <v>198</v>
      </c>
      <c r="P146" s="120">
        <f t="shared" si="15"/>
        <v>198</v>
      </c>
      <c r="Q146" s="152">
        <f t="shared" si="16"/>
        <v>198</v>
      </c>
      <c r="R146" s="152">
        <f t="shared" si="17"/>
        <v>198</v>
      </c>
      <c r="S146" s="152" t="s">
        <v>215</v>
      </c>
      <c r="T146" s="5"/>
    </row>
    <row r="147" spans="1:20" ht="12.95" customHeight="1" x14ac:dyDescent="0.2">
      <c r="A147" s="306"/>
      <c r="B147" s="306"/>
      <c r="C147" s="306"/>
      <c r="D147" s="306"/>
      <c r="E147" s="313"/>
      <c r="F147" s="291"/>
      <c r="G147" s="279"/>
      <c r="H147" s="266"/>
      <c r="I147" s="296"/>
      <c r="J147" s="296"/>
      <c r="K147" s="296"/>
      <c r="L147" s="140">
        <v>7</v>
      </c>
      <c r="M147" s="401" t="s">
        <v>176</v>
      </c>
      <c r="N147" s="136" t="s">
        <v>124</v>
      </c>
      <c r="O147" s="120">
        <f>O146</f>
        <v>198</v>
      </c>
      <c r="P147" s="120">
        <f t="shared" si="15"/>
        <v>198</v>
      </c>
      <c r="Q147" s="150">
        <f t="shared" si="16"/>
        <v>198</v>
      </c>
      <c r="R147" s="150">
        <f t="shared" si="17"/>
        <v>198</v>
      </c>
      <c r="S147" s="150" t="s">
        <v>215</v>
      </c>
      <c r="T147" s="5"/>
    </row>
    <row r="148" spans="1:20" ht="12.95" customHeight="1" x14ac:dyDescent="0.2">
      <c r="A148" s="306"/>
      <c r="B148" s="306"/>
      <c r="C148" s="306"/>
      <c r="D148" s="306"/>
      <c r="E148" s="313"/>
      <c r="F148" s="291"/>
      <c r="G148" s="279"/>
      <c r="H148" s="266"/>
      <c r="I148" s="296"/>
      <c r="J148" s="296"/>
      <c r="K148" s="296"/>
      <c r="L148" s="135">
        <v>8</v>
      </c>
      <c r="M148" s="401" t="s">
        <v>177</v>
      </c>
      <c r="N148" s="136" t="s">
        <v>38</v>
      </c>
      <c r="O148" s="120">
        <f>O147</f>
        <v>198</v>
      </c>
      <c r="P148" s="120">
        <f t="shared" si="15"/>
        <v>198</v>
      </c>
      <c r="Q148" s="150">
        <f t="shared" si="16"/>
        <v>198</v>
      </c>
      <c r="R148" s="150">
        <f t="shared" si="17"/>
        <v>198</v>
      </c>
      <c r="S148" s="150" t="s">
        <v>215</v>
      </c>
      <c r="T148" s="5"/>
    </row>
    <row r="149" spans="1:20" ht="12.95" customHeight="1" x14ac:dyDescent="0.2">
      <c r="A149" s="306"/>
      <c r="B149" s="306"/>
      <c r="C149" s="306"/>
      <c r="D149" s="306"/>
      <c r="E149" s="313"/>
      <c r="F149" s="291"/>
      <c r="G149" s="279"/>
      <c r="H149" s="266"/>
      <c r="I149" s="296"/>
      <c r="J149" s="296"/>
      <c r="K149" s="296"/>
      <c r="L149" s="140">
        <v>9</v>
      </c>
      <c r="M149" s="401" t="s">
        <v>178</v>
      </c>
      <c r="N149" s="136" t="s">
        <v>50</v>
      </c>
      <c r="O149" s="120" t="str">
        <f>IF((AND(B137=30,E137="درام3400")),"48",IF((AND(B137=25,E137="درام3400")),"35",IF((AND(B137=20,E137="درام3400")),"24",IF((AND(B137=15,E137="درام3400")),"15",IF((AND(B137=30,E137="درام5100")),"120",IF((AND(B137=25,E137="درام5100")),"90",IF((AND(B137=20,E137="درام5100")),"64",IF((AND(B137=15,E137="درام5100")),"42"))))))))</f>
        <v>64</v>
      </c>
      <c r="P149" s="120">
        <f t="shared" si="15"/>
        <v>64</v>
      </c>
      <c r="Q149" s="150">
        <f t="shared" si="16"/>
        <v>64</v>
      </c>
      <c r="R149" s="150">
        <f t="shared" si="17"/>
        <v>64</v>
      </c>
      <c r="S149" s="150" t="s">
        <v>215</v>
      </c>
      <c r="T149" s="5"/>
    </row>
    <row r="150" spans="1:20" ht="12.95" customHeight="1" x14ac:dyDescent="0.2">
      <c r="A150" s="306"/>
      <c r="B150" s="306"/>
      <c r="C150" s="306"/>
      <c r="D150" s="306"/>
      <c r="E150" s="313"/>
      <c r="F150" s="291"/>
      <c r="G150" s="279"/>
      <c r="H150" s="266"/>
      <c r="I150" s="296"/>
      <c r="J150" s="296"/>
      <c r="K150" s="296"/>
      <c r="L150" s="135">
        <v>10</v>
      </c>
      <c r="M150" s="401" t="s">
        <v>179</v>
      </c>
      <c r="N150" s="136" t="s">
        <v>96</v>
      </c>
      <c r="O150" s="120" t="str">
        <f>O149</f>
        <v>64</v>
      </c>
      <c r="P150" s="120">
        <f t="shared" si="15"/>
        <v>64</v>
      </c>
      <c r="Q150" s="150">
        <f t="shared" si="16"/>
        <v>64</v>
      </c>
      <c r="R150" s="150">
        <f t="shared" si="17"/>
        <v>64</v>
      </c>
      <c r="S150" s="150" t="s">
        <v>215</v>
      </c>
      <c r="T150" s="5"/>
    </row>
    <row r="151" spans="1:20" ht="12.95" customHeight="1" x14ac:dyDescent="0.2">
      <c r="A151" s="306"/>
      <c r="B151" s="306"/>
      <c r="C151" s="306"/>
      <c r="D151" s="306"/>
      <c r="E151" s="313"/>
      <c r="F151" s="291"/>
      <c r="G151" s="279"/>
      <c r="H151" s="266"/>
      <c r="I151" s="296"/>
      <c r="J151" s="296"/>
      <c r="K151" s="296"/>
      <c r="L151" s="140">
        <v>11</v>
      </c>
      <c r="M151" s="401" t="s">
        <v>180</v>
      </c>
      <c r="N151" s="136" t="s">
        <v>181</v>
      </c>
      <c r="O151" s="120" t="str">
        <f>O149</f>
        <v>64</v>
      </c>
      <c r="P151" s="120">
        <f t="shared" si="15"/>
        <v>64</v>
      </c>
      <c r="Q151" s="129">
        <f t="shared" si="16"/>
        <v>64</v>
      </c>
      <c r="R151" s="129">
        <f t="shared" si="17"/>
        <v>64</v>
      </c>
      <c r="S151" s="129" t="s">
        <v>215</v>
      </c>
      <c r="T151" s="5"/>
    </row>
    <row r="152" spans="1:20" ht="12.95" customHeight="1" x14ac:dyDescent="0.2">
      <c r="A152" s="306"/>
      <c r="B152" s="306"/>
      <c r="C152" s="306"/>
      <c r="D152" s="306"/>
      <c r="E152" s="313"/>
      <c r="F152" s="291"/>
      <c r="G152" s="279"/>
      <c r="H152" s="266"/>
      <c r="I152" s="296"/>
      <c r="J152" s="296"/>
      <c r="K152" s="296"/>
      <c r="L152" s="135">
        <v>12</v>
      </c>
      <c r="M152" s="401" t="s">
        <v>182</v>
      </c>
      <c r="N152" s="136" t="s">
        <v>161</v>
      </c>
      <c r="O152" s="120">
        <f>J105*7</f>
        <v>126</v>
      </c>
      <c r="P152" s="129">
        <f t="shared" si="15"/>
        <v>126</v>
      </c>
      <c r="Q152" s="150">
        <f t="shared" si="16"/>
        <v>126</v>
      </c>
      <c r="R152" s="150">
        <f t="shared" si="17"/>
        <v>126</v>
      </c>
      <c r="S152" s="150" t="s">
        <v>215</v>
      </c>
      <c r="T152" s="174"/>
    </row>
    <row r="153" spans="1:20" ht="12.95" customHeight="1" x14ac:dyDescent="0.2">
      <c r="A153" s="306"/>
      <c r="B153" s="306"/>
      <c r="C153" s="306"/>
      <c r="D153" s="306"/>
      <c r="E153" s="313"/>
      <c r="F153" s="291"/>
      <c r="G153" s="279"/>
      <c r="H153" s="266"/>
      <c r="I153" s="296"/>
      <c r="J153" s="296"/>
      <c r="K153" s="296"/>
      <c r="L153" s="140">
        <v>13</v>
      </c>
      <c r="M153" s="401" t="s">
        <v>183</v>
      </c>
      <c r="N153" s="136" t="s">
        <v>122</v>
      </c>
      <c r="O153" s="120">
        <v>4</v>
      </c>
      <c r="P153" s="120">
        <f t="shared" si="15"/>
        <v>4</v>
      </c>
      <c r="Q153" s="150">
        <f t="shared" si="16"/>
        <v>4</v>
      </c>
      <c r="R153" s="150">
        <f t="shared" si="17"/>
        <v>4</v>
      </c>
      <c r="S153" s="150" t="s">
        <v>215</v>
      </c>
      <c r="T153" s="174"/>
    </row>
    <row r="154" spans="1:20" ht="12.95" customHeight="1" x14ac:dyDescent="0.2">
      <c r="A154" s="306"/>
      <c r="B154" s="306"/>
      <c r="C154" s="306"/>
      <c r="D154" s="306"/>
      <c r="E154" s="313"/>
      <c r="F154" s="291"/>
      <c r="G154" s="279"/>
      <c r="H154" s="266"/>
      <c r="I154" s="296"/>
      <c r="J154" s="296"/>
      <c r="K154" s="296"/>
      <c r="L154" s="135">
        <v>14</v>
      </c>
      <c r="M154" s="401" t="s">
        <v>184</v>
      </c>
      <c r="N154" s="136" t="s">
        <v>17</v>
      </c>
      <c r="O154" s="120">
        <v>4</v>
      </c>
      <c r="P154" s="120">
        <f t="shared" si="15"/>
        <v>4</v>
      </c>
      <c r="Q154" s="150">
        <f t="shared" si="16"/>
        <v>4</v>
      </c>
      <c r="R154" s="150">
        <f t="shared" si="17"/>
        <v>4</v>
      </c>
      <c r="S154" s="150" t="s">
        <v>215</v>
      </c>
      <c r="T154" s="174"/>
    </row>
    <row r="155" spans="1:20" ht="12.95" customHeight="1" x14ac:dyDescent="0.2">
      <c r="A155" s="307"/>
      <c r="B155" s="307"/>
      <c r="C155" s="307"/>
      <c r="D155" s="307"/>
      <c r="E155" s="314"/>
      <c r="F155" s="276"/>
      <c r="G155" s="289"/>
      <c r="H155" s="267"/>
      <c r="I155" s="297"/>
      <c r="J155" s="297"/>
      <c r="K155" s="297"/>
      <c r="L155" s="140">
        <v>15</v>
      </c>
      <c r="M155" s="401" t="s">
        <v>185</v>
      </c>
      <c r="N155" s="74" t="str">
        <f>IF(B105=30,"3x150x10000",IF(B105=25,"3x150x8500",IF(B105=20,"3x150x7000",IF(B105=15,"3x150x5500"))))</f>
        <v>3x150x10000</v>
      </c>
      <c r="O155" s="120">
        <v>1</v>
      </c>
      <c r="P155" s="120">
        <f t="shared" si="15"/>
        <v>1</v>
      </c>
      <c r="Q155" s="150">
        <f t="shared" si="16"/>
        <v>1</v>
      </c>
      <c r="R155" s="74">
        <f>IF(B105=30,"6.75",IF(B105=25,"5.73",IF(B105=20,"4.72",IF(B105=15,"3.71"))))*Q155</f>
        <v>6.75</v>
      </c>
      <c r="S155" s="150" t="s">
        <v>214</v>
      </c>
      <c r="T155" s="174"/>
    </row>
    <row r="166" spans="1:20" ht="9" customHeight="1" x14ac:dyDescent="0.2"/>
    <row r="167" spans="1:20" ht="19.5" x14ac:dyDescent="0.2">
      <c r="A167" s="256" t="s">
        <v>0</v>
      </c>
      <c r="B167" s="257"/>
      <c r="C167" s="257"/>
      <c r="D167" s="9"/>
      <c r="E167" s="10"/>
      <c r="F167" s="10" t="s">
        <v>14</v>
      </c>
      <c r="G167" s="11"/>
      <c r="H167" s="10"/>
      <c r="I167" s="10" t="s">
        <v>13</v>
      </c>
      <c r="J167" s="10"/>
      <c r="K167" s="11"/>
      <c r="L167" s="9"/>
      <c r="M167" s="10"/>
      <c r="N167" s="6" t="s">
        <v>1</v>
      </c>
      <c r="O167" s="10"/>
      <c r="P167" s="10"/>
      <c r="Q167" s="10"/>
      <c r="R167" s="71"/>
      <c r="S167" s="71"/>
      <c r="T167" s="15" t="s">
        <v>15</v>
      </c>
    </row>
    <row r="168" spans="1:20" ht="45" x14ac:dyDescent="0.2">
      <c r="A168" s="17" t="s">
        <v>2</v>
      </c>
      <c r="B168" s="17" t="s">
        <v>211</v>
      </c>
      <c r="C168" s="3" t="s">
        <v>3</v>
      </c>
      <c r="D168" s="12" t="s">
        <v>4</v>
      </c>
      <c r="E168" s="13" t="s">
        <v>5</v>
      </c>
      <c r="F168" s="12" t="s">
        <v>6</v>
      </c>
      <c r="G168" s="12" t="s">
        <v>3</v>
      </c>
      <c r="H168" s="3" t="s">
        <v>10</v>
      </c>
      <c r="I168" s="43" t="s">
        <v>5</v>
      </c>
      <c r="J168" s="3" t="s">
        <v>12</v>
      </c>
      <c r="K168" s="3" t="s">
        <v>11</v>
      </c>
      <c r="L168" s="1" t="s">
        <v>7</v>
      </c>
      <c r="M168" s="33" t="s">
        <v>5</v>
      </c>
      <c r="N168" s="2" t="s">
        <v>9</v>
      </c>
      <c r="O168" s="3" t="s">
        <v>8</v>
      </c>
      <c r="P168" s="3" t="s">
        <v>6</v>
      </c>
      <c r="Q168" s="14" t="s">
        <v>3</v>
      </c>
      <c r="R168" s="14" t="s">
        <v>212</v>
      </c>
      <c r="S168" s="14" t="s">
        <v>213</v>
      </c>
      <c r="T168" s="43" t="s">
        <v>16</v>
      </c>
    </row>
    <row r="169" spans="1:20" ht="14.25" customHeight="1" x14ac:dyDescent="0.2">
      <c r="A169" s="304" t="s">
        <v>208</v>
      </c>
      <c r="B169" s="308">
        <v>30</v>
      </c>
      <c r="C169" s="304" t="s">
        <v>18</v>
      </c>
      <c r="D169" s="304" t="s">
        <v>208</v>
      </c>
      <c r="E169" s="311" t="s">
        <v>304</v>
      </c>
      <c r="F169" s="271" t="s">
        <v>18</v>
      </c>
      <c r="G169" s="301">
        <f>F169*C169</f>
        <v>1</v>
      </c>
      <c r="H169" s="69" t="s">
        <v>34</v>
      </c>
      <c r="I169" s="48" t="s">
        <v>186</v>
      </c>
      <c r="J169" s="69" t="s">
        <v>34</v>
      </c>
      <c r="K169" s="69" t="s">
        <v>34</v>
      </c>
      <c r="L169" s="18" t="s">
        <v>18</v>
      </c>
      <c r="M169" s="409" t="s">
        <v>186</v>
      </c>
      <c r="N169" s="49" t="s">
        <v>190</v>
      </c>
      <c r="O169" s="120">
        <v>1</v>
      </c>
      <c r="P169" s="120">
        <f>O169*$F$169</f>
        <v>1</v>
      </c>
      <c r="Q169" s="120">
        <f>P169*$C$169</f>
        <v>1</v>
      </c>
      <c r="R169" s="180">
        <f>15.7*$Q$169</f>
        <v>15.7</v>
      </c>
      <c r="S169" s="120" t="s">
        <v>214</v>
      </c>
      <c r="T169" s="5"/>
    </row>
    <row r="170" spans="1:20" ht="14.25" customHeight="1" x14ac:dyDescent="0.2">
      <c r="A170" s="304"/>
      <c r="B170" s="309"/>
      <c r="C170" s="304"/>
      <c r="D170" s="304"/>
      <c r="E170" s="311"/>
      <c r="F170" s="271"/>
      <c r="G170" s="301"/>
      <c r="H170" s="115" t="s">
        <v>34</v>
      </c>
      <c r="I170" s="42" t="s">
        <v>187</v>
      </c>
      <c r="J170" s="69" t="s">
        <v>34</v>
      </c>
      <c r="K170" s="69" t="s">
        <v>34</v>
      </c>
      <c r="L170" s="29" t="s">
        <v>19</v>
      </c>
      <c r="M170" s="399" t="s">
        <v>187</v>
      </c>
      <c r="N170" s="49" t="s">
        <v>190</v>
      </c>
      <c r="O170" s="120">
        <v>1</v>
      </c>
      <c r="P170" s="120">
        <f t="shared" ref="P170:P185" si="18">O170*$F$169</f>
        <v>1</v>
      </c>
      <c r="Q170" s="120">
        <f t="shared" ref="Q170:R185" si="19">P170*$C$169</f>
        <v>1</v>
      </c>
      <c r="R170" s="180">
        <f t="shared" ref="R170:R172" si="20">15.7*$Q$169</f>
        <v>15.7</v>
      </c>
      <c r="S170" s="120" t="s">
        <v>214</v>
      </c>
      <c r="T170" s="5"/>
    </row>
    <row r="171" spans="1:20" ht="14.25" customHeight="1" x14ac:dyDescent="0.2">
      <c r="A171" s="304"/>
      <c r="B171" s="309"/>
      <c r="C171" s="304"/>
      <c r="D171" s="304"/>
      <c r="E171" s="311"/>
      <c r="F171" s="271"/>
      <c r="G171" s="301"/>
      <c r="H171" s="115" t="s">
        <v>34</v>
      </c>
      <c r="I171" s="42" t="s">
        <v>188</v>
      </c>
      <c r="J171" s="69" t="s">
        <v>34</v>
      </c>
      <c r="K171" s="69" t="s">
        <v>34</v>
      </c>
      <c r="L171" s="18" t="s">
        <v>20</v>
      </c>
      <c r="M171" s="399" t="s">
        <v>188</v>
      </c>
      <c r="N171" s="49" t="s">
        <v>190</v>
      </c>
      <c r="O171" s="120">
        <v>1</v>
      </c>
      <c r="P171" s="120">
        <f t="shared" si="18"/>
        <v>1</v>
      </c>
      <c r="Q171" s="120">
        <f t="shared" si="19"/>
        <v>1</v>
      </c>
      <c r="R171" s="180">
        <f t="shared" si="20"/>
        <v>15.7</v>
      </c>
      <c r="S171" s="120" t="s">
        <v>214</v>
      </c>
      <c r="T171" s="5"/>
    </row>
    <row r="172" spans="1:20" ht="14.25" customHeight="1" x14ac:dyDescent="0.2">
      <c r="A172" s="304"/>
      <c r="B172" s="309"/>
      <c r="C172" s="304"/>
      <c r="D172" s="304"/>
      <c r="E172" s="311"/>
      <c r="F172" s="271"/>
      <c r="G172" s="301"/>
      <c r="H172" s="115" t="s">
        <v>34</v>
      </c>
      <c r="I172" s="42" t="s">
        <v>189</v>
      </c>
      <c r="J172" s="69" t="s">
        <v>34</v>
      </c>
      <c r="K172" s="69" t="s">
        <v>34</v>
      </c>
      <c r="L172" s="18" t="s">
        <v>21</v>
      </c>
      <c r="M172" s="399" t="s">
        <v>189</v>
      </c>
      <c r="N172" s="49" t="s">
        <v>190</v>
      </c>
      <c r="O172" s="120">
        <v>1</v>
      </c>
      <c r="P172" s="120">
        <f t="shared" si="18"/>
        <v>1</v>
      </c>
      <c r="Q172" s="120">
        <f t="shared" si="19"/>
        <v>1</v>
      </c>
      <c r="R172" s="180">
        <f t="shared" si="20"/>
        <v>15.7</v>
      </c>
      <c r="S172" s="120" t="s">
        <v>214</v>
      </c>
      <c r="T172" s="5"/>
    </row>
    <row r="173" spans="1:20" ht="14.25" customHeight="1" x14ac:dyDescent="0.2">
      <c r="A173" s="304"/>
      <c r="B173" s="309"/>
      <c r="C173" s="304"/>
      <c r="D173" s="304"/>
      <c r="E173" s="311"/>
      <c r="F173" s="271"/>
      <c r="G173" s="301"/>
      <c r="H173" s="68" t="s">
        <v>34</v>
      </c>
      <c r="I173" s="42" t="s">
        <v>191</v>
      </c>
      <c r="J173" s="68" t="s">
        <v>34</v>
      </c>
      <c r="K173" s="69" t="s">
        <v>34</v>
      </c>
      <c r="L173" s="29" t="s">
        <v>22</v>
      </c>
      <c r="M173" s="399" t="s">
        <v>191</v>
      </c>
      <c r="N173" s="22" t="s">
        <v>311</v>
      </c>
      <c r="O173" s="120">
        <v>1</v>
      </c>
      <c r="P173" s="120">
        <f t="shared" si="18"/>
        <v>1</v>
      </c>
      <c r="Q173" s="120">
        <f t="shared" si="19"/>
        <v>1</v>
      </c>
      <c r="R173" s="180">
        <f>7.85*$Q$169</f>
        <v>7.85</v>
      </c>
      <c r="S173" s="120" t="s">
        <v>214</v>
      </c>
      <c r="T173" s="5"/>
    </row>
    <row r="174" spans="1:20" ht="14.25" customHeight="1" x14ac:dyDescent="0.2">
      <c r="A174" s="304"/>
      <c r="B174" s="309"/>
      <c r="C174" s="304"/>
      <c r="D174" s="304"/>
      <c r="E174" s="311"/>
      <c r="F174" s="271"/>
      <c r="G174" s="301"/>
      <c r="H174" s="68" t="s">
        <v>34</v>
      </c>
      <c r="I174" s="42" t="s">
        <v>300</v>
      </c>
      <c r="J174" s="68" t="s">
        <v>34</v>
      </c>
      <c r="K174" s="69" t="s">
        <v>34</v>
      </c>
      <c r="L174" s="113" t="s">
        <v>23</v>
      </c>
      <c r="M174" s="399" t="s">
        <v>300</v>
      </c>
      <c r="N174" s="22" t="s">
        <v>311</v>
      </c>
      <c r="O174" s="120">
        <v>1</v>
      </c>
      <c r="P174" s="120">
        <f t="shared" si="18"/>
        <v>1</v>
      </c>
      <c r="Q174" s="120">
        <f t="shared" si="19"/>
        <v>1</v>
      </c>
      <c r="R174" s="180">
        <f t="shared" ref="R174:R176" si="21">7.85*$Q$169</f>
        <v>7.85</v>
      </c>
      <c r="S174" s="120" t="s">
        <v>214</v>
      </c>
      <c r="T174" s="5"/>
    </row>
    <row r="175" spans="1:20" ht="14.25" customHeight="1" x14ac:dyDescent="0.2">
      <c r="A175" s="304"/>
      <c r="B175" s="309"/>
      <c r="C175" s="304"/>
      <c r="D175" s="304"/>
      <c r="E175" s="311"/>
      <c r="F175" s="271"/>
      <c r="G175" s="301"/>
      <c r="H175" s="68" t="s">
        <v>34</v>
      </c>
      <c r="I175" s="42" t="s">
        <v>301</v>
      </c>
      <c r="J175" s="68" t="s">
        <v>34</v>
      </c>
      <c r="K175" s="69" t="s">
        <v>34</v>
      </c>
      <c r="L175" s="113" t="s">
        <v>24</v>
      </c>
      <c r="M175" s="399" t="s">
        <v>301</v>
      </c>
      <c r="N175" s="22" t="s">
        <v>311</v>
      </c>
      <c r="O175" s="120">
        <v>1</v>
      </c>
      <c r="P175" s="120">
        <f t="shared" si="18"/>
        <v>1</v>
      </c>
      <c r="Q175" s="120">
        <f t="shared" si="19"/>
        <v>1</v>
      </c>
      <c r="R175" s="180">
        <f t="shared" si="21"/>
        <v>7.85</v>
      </c>
      <c r="S175" s="120" t="s">
        <v>214</v>
      </c>
      <c r="T175" s="5"/>
    </row>
    <row r="176" spans="1:20" ht="14.25" customHeight="1" x14ac:dyDescent="0.2">
      <c r="A176" s="304"/>
      <c r="B176" s="309"/>
      <c r="C176" s="304"/>
      <c r="D176" s="304"/>
      <c r="E176" s="311"/>
      <c r="F176" s="271"/>
      <c r="G176" s="301"/>
      <c r="H176" s="68" t="s">
        <v>34</v>
      </c>
      <c r="I176" s="42" t="s">
        <v>302</v>
      </c>
      <c r="J176" s="68" t="s">
        <v>34</v>
      </c>
      <c r="K176" s="69" t="s">
        <v>34</v>
      </c>
      <c r="L176" s="113" t="s">
        <v>25</v>
      </c>
      <c r="M176" s="399" t="s">
        <v>302</v>
      </c>
      <c r="N176" s="22" t="s">
        <v>311</v>
      </c>
      <c r="O176" s="120">
        <v>1</v>
      </c>
      <c r="P176" s="120">
        <f t="shared" si="18"/>
        <v>1</v>
      </c>
      <c r="Q176" s="120">
        <f t="shared" si="19"/>
        <v>1</v>
      </c>
      <c r="R176" s="180">
        <f t="shared" si="21"/>
        <v>7.85</v>
      </c>
      <c r="S176" s="120" t="s">
        <v>214</v>
      </c>
      <c r="T176" s="5"/>
    </row>
    <row r="177" spans="1:28" ht="14.25" customHeight="1" x14ac:dyDescent="0.2">
      <c r="A177" s="304"/>
      <c r="B177" s="309"/>
      <c r="C177" s="304"/>
      <c r="D177" s="304"/>
      <c r="E177" s="311"/>
      <c r="F177" s="271"/>
      <c r="G177" s="301"/>
      <c r="H177" s="69" t="s">
        <v>34</v>
      </c>
      <c r="I177" s="49" t="s">
        <v>201</v>
      </c>
      <c r="J177" s="69" t="s">
        <v>34</v>
      </c>
      <c r="K177" s="69" t="s">
        <v>34</v>
      </c>
      <c r="L177" s="111" t="s">
        <v>26</v>
      </c>
      <c r="M177" s="410" t="s">
        <v>201</v>
      </c>
      <c r="N177" s="49" t="s">
        <v>312</v>
      </c>
      <c r="O177" s="120" t="str">
        <f>IF(B169=30,"4",IF(B169=25,"0",IF(B169=20,"0",IF(B169=15,"0"))))</f>
        <v>4</v>
      </c>
      <c r="P177" s="120">
        <f t="shared" si="18"/>
        <v>4</v>
      </c>
      <c r="Q177" s="120">
        <f t="shared" si="19"/>
        <v>4</v>
      </c>
      <c r="R177" s="180">
        <f>Q177*4.38</f>
        <v>17.52</v>
      </c>
      <c r="S177" s="120" t="s">
        <v>214</v>
      </c>
      <c r="T177" s="5"/>
    </row>
    <row r="178" spans="1:28" ht="14.25" customHeight="1" x14ac:dyDescent="0.2">
      <c r="A178" s="304"/>
      <c r="B178" s="309"/>
      <c r="C178" s="304"/>
      <c r="D178" s="304"/>
      <c r="E178" s="311"/>
      <c r="F178" s="271"/>
      <c r="G178" s="301"/>
      <c r="H178" s="265" t="s">
        <v>205</v>
      </c>
      <c r="I178" s="265" t="s">
        <v>303</v>
      </c>
      <c r="J178" s="265" t="s">
        <v>19</v>
      </c>
      <c r="K178" s="295">
        <f>J178*G169</f>
        <v>2</v>
      </c>
      <c r="L178" s="113" t="s">
        <v>18</v>
      </c>
      <c r="M178" s="399" t="s">
        <v>199</v>
      </c>
      <c r="N178" s="49" t="s">
        <v>200</v>
      </c>
      <c r="O178" s="120">
        <v>2</v>
      </c>
      <c r="P178" s="120">
        <f t="shared" si="18"/>
        <v>2</v>
      </c>
      <c r="Q178" s="120">
        <f t="shared" si="19"/>
        <v>2</v>
      </c>
      <c r="R178" s="180">
        <f>Q178*0.1</f>
        <v>0.2</v>
      </c>
      <c r="S178" s="120" t="s">
        <v>214</v>
      </c>
      <c r="T178" s="5"/>
    </row>
    <row r="179" spans="1:28" ht="14.25" customHeight="1" x14ac:dyDescent="0.2">
      <c r="A179" s="304"/>
      <c r="B179" s="309"/>
      <c r="C179" s="304"/>
      <c r="D179" s="304"/>
      <c r="E179" s="311"/>
      <c r="F179" s="271"/>
      <c r="G179" s="301"/>
      <c r="H179" s="267"/>
      <c r="I179" s="267"/>
      <c r="J179" s="267"/>
      <c r="K179" s="297"/>
      <c r="L179" s="18" t="s">
        <v>19</v>
      </c>
      <c r="M179" s="399" t="s">
        <v>192</v>
      </c>
      <c r="N179" s="49" t="s">
        <v>193</v>
      </c>
      <c r="O179" s="120">
        <v>2</v>
      </c>
      <c r="P179" s="120">
        <f t="shared" si="18"/>
        <v>2</v>
      </c>
      <c r="Q179" s="120">
        <f t="shared" si="19"/>
        <v>2</v>
      </c>
      <c r="R179" s="180">
        <f>11.3*Q179</f>
        <v>22.6</v>
      </c>
      <c r="S179" s="120" t="s">
        <v>214</v>
      </c>
      <c r="T179" s="5"/>
    </row>
    <row r="180" spans="1:28" ht="14.25" customHeight="1" x14ac:dyDescent="0.2">
      <c r="A180" s="304"/>
      <c r="B180" s="309"/>
      <c r="C180" s="304"/>
      <c r="D180" s="304"/>
      <c r="E180" s="311"/>
      <c r="F180" s="271"/>
      <c r="G180" s="301"/>
      <c r="H180" s="265" t="s">
        <v>206</v>
      </c>
      <c r="I180" s="265" t="s">
        <v>194</v>
      </c>
      <c r="J180" s="265">
        <v>1</v>
      </c>
      <c r="K180" s="295">
        <f>J180*G169</f>
        <v>1</v>
      </c>
      <c r="L180" s="18" t="s">
        <v>18</v>
      </c>
      <c r="M180" s="399" t="s">
        <v>195</v>
      </c>
      <c r="N180" s="49" t="s">
        <v>122</v>
      </c>
      <c r="O180" s="120">
        <v>32</v>
      </c>
      <c r="P180" s="120">
        <f t="shared" si="18"/>
        <v>32</v>
      </c>
      <c r="Q180" s="120">
        <f t="shared" si="19"/>
        <v>32</v>
      </c>
      <c r="R180" s="120">
        <f t="shared" si="19"/>
        <v>32</v>
      </c>
      <c r="S180" s="120" t="s">
        <v>215</v>
      </c>
      <c r="T180" s="5"/>
    </row>
    <row r="181" spans="1:28" ht="14.25" customHeight="1" x14ac:dyDescent="0.2">
      <c r="A181" s="304"/>
      <c r="B181" s="309"/>
      <c r="C181" s="304"/>
      <c r="D181" s="304"/>
      <c r="E181" s="311"/>
      <c r="F181" s="271"/>
      <c r="G181" s="301"/>
      <c r="H181" s="266"/>
      <c r="I181" s="266"/>
      <c r="J181" s="266"/>
      <c r="K181" s="296"/>
      <c r="L181" s="29" t="s">
        <v>19</v>
      </c>
      <c r="M181" s="399" t="s">
        <v>196</v>
      </c>
      <c r="N181" s="49" t="s">
        <v>124</v>
      </c>
      <c r="O181" s="120">
        <v>32</v>
      </c>
      <c r="P181" s="120">
        <f t="shared" si="18"/>
        <v>32</v>
      </c>
      <c r="Q181" s="120">
        <f t="shared" si="19"/>
        <v>32</v>
      </c>
      <c r="R181" s="120">
        <f t="shared" si="19"/>
        <v>32</v>
      </c>
      <c r="S181" s="120" t="s">
        <v>215</v>
      </c>
      <c r="T181" s="5"/>
    </row>
    <row r="182" spans="1:28" ht="14.25" customHeight="1" x14ac:dyDescent="0.2">
      <c r="A182" s="304"/>
      <c r="B182" s="309"/>
      <c r="C182" s="304"/>
      <c r="D182" s="304"/>
      <c r="E182" s="311"/>
      <c r="F182" s="271"/>
      <c r="G182" s="301"/>
      <c r="H182" s="266"/>
      <c r="I182" s="266"/>
      <c r="J182" s="266"/>
      <c r="K182" s="296"/>
      <c r="L182" s="18" t="s">
        <v>20</v>
      </c>
      <c r="M182" s="399" t="s">
        <v>197</v>
      </c>
      <c r="N182" s="47" t="s">
        <v>122</v>
      </c>
      <c r="O182" s="141">
        <v>2</v>
      </c>
      <c r="P182" s="120">
        <f t="shared" si="18"/>
        <v>2</v>
      </c>
      <c r="Q182" s="120">
        <f t="shared" si="19"/>
        <v>2</v>
      </c>
      <c r="R182" s="120">
        <f t="shared" si="19"/>
        <v>2</v>
      </c>
      <c r="S182" s="141" t="s">
        <v>215</v>
      </c>
      <c r="T182" s="5"/>
      <c r="U182" s="166"/>
      <c r="V182" s="80"/>
      <c r="W182" s="81"/>
      <c r="X182" s="80"/>
      <c r="Y182" s="80"/>
      <c r="Z182" s="80"/>
      <c r="AA182" s="80"/>
      <c r="AB182" s="80"/>
    </row>
    <row r="183" spans="1:28" ht="14.25" customHeight="1" x14ac:dyDescent="0.2">
      <c r="A183" s="304"/>
      <c r="B183" s="309"/>
      <c r="C183" s="304"/>
      <c r="D183" s="304"/>
      <c r="E183" s="311"/>
      <c r="F183" s="271"/>
      <c r="G183" s="301"/>
      <c r="H183" s="266"/>
      <c r="I183" s="266"/>
      <c r="J183" s="266"/>
      <c r="K183" s="296"/>
      <c r="L183" s="18" t="s">
        <v>21</v>
      </c>
      <c r="M183" s="399" t="s">
        <v>198</v>
      </c>
      <c r="N183" s="49" t="s">
        <v>124</v>
      </c>
      <c r="O183" s="120">
        <v>2</v>
      </c>
      <c r="P183" s="120">
        <f t="shared" si="18"/>
        <v>2</v>
      </c>
      <c r="Q183" s="120">
        <f t="shared" si="19"/>
        <v>2</v>
      </c>
      <c r="R183" s="120">
        <f t="shared" si="19"/>
        <v>2</v>
      </c>
      <c r="S183" s="120" t="s">
        <v>215</v>
      </c>
      <c r="T183" s="5"/>
      <c r="U183" s="166"/>
      <c r="V183" s="81"/>
      <c r="W183" s="81"/>
      <c r="X183" s="80"/>
      <c r="Y183" s="80"/>
      <c r="Z183" s="80"/>
      <c r="AA183" s="80"/>
      <c r="AB183" s="80"/>
    </row>
    <row r="184" spans="1:28" ht="14.25" customHeight="1" x14ac:dyDescent="0.2">
      <c r="A184" s="304"/>
      <c r="B184" s="309"/>
      <c r="C184" s="304"/>
      <c r="D184" s="304"/>
      <c r="E184" s="311"/>
      <c r="F184" s="271"/>
      <c r="G184" s="301"/>
      <c r="H184" s="266"/>
      <c r="I184" s="266"/>
      <c r="J184" s="266"/>
      <c r="K184" s="296"/>
      <c r="L184" s="18" t="s">
        <v>22</v>
      </c>
      <c r="M184" s="399" t="s">
        <v>202</v>
      </c>
      <c r="N184" s="49" t="s">
        <v>161</v>
      </c>
      <c r="O184" s="120">
        <v>40</v>
      </c>
      <c r="P184" s="120">
        <f t="shared" si="18"/>
        <v>40</v>
      </c>
      <c r="Q184" s="120">
        <f t="shared" si="19"/>
        <v>40</v>
      </c>
      <c r="R184" s="120">
        <f t="shared" si="19"/>
        <v>40</v>
      </c>
      <c r="S184" s="120" t="s">
        <v>215</v>
      </c>
      <c r="T184" s="5"/>
    </row>
    <row r="185" spans="1:28" ht="14.25" customHeight="1" x14ac:dyDescent="0.2">
      <c r="A185" s="304"/>
      <c r="B185" s="310"/>
      <c r="C185" s="304"/>
      <c r="D185" s="304"/>
      <c r="E185" s="311"/>
      <c r="F185" s="271"/>
      <c r="G185" s="301"/>
      <c r="H185" s="267"/>
      <c r="I185" s="267"/>
      <c r="J185" s="267"/>
      <c r="K185" s="297"/>
      <c r="L185" s="29" t="s">
        <v>23</v>
      </c>
      <c r="M185" s="399" t="s">
        <v>203</v>
      </c>
      <c r="N185" s="49" t="s">
        <v>204</v>
      </c>
      <c r="O185" s="120">
        <v>40</v>
      </c>
      <c r="P185" s="120">
        <f t="shared" si="18"/>
        <v>40</v>
      </c>
      <c r="Q185" s="120">
        <f t="shared" si="19"/>
        <v>40</v>
      </c>
      <c r="R185" s="120">
        <f t="shared" si="19"/>
        <v>40</v>
      </c>
      <c r="S185" s="120" t="s">
        <v>215</v>
      </c>
      <c r="T185" s="5"/>
    </row>
    <row r="193" spans="1:20" hidden="1" x14ac:dyDescent="0.2">
      <c r="A193" t="s">
        <v>297</v>
      </c>
    </row>
    <row r="194" spans="1:20" hidden="1" x14ac:dyDescent="0.2">
      <c r="A194" t="s">
        <v>298</v>
      </c>
    </row>
    <row r="199" spans="1:20" ht="5.25" customHeight="1" x14ac:dyDescent="0.2"/>
    <row r="200" spans="1:20" ht="19.5" x14ac:dyDescent="0.2">
      <c r="A200" s="256" t="s">
        <v>0</v>
      </c>
      <c r="B200" s="257"/>
      <c r="C200" s="257"/>
      <c r="D200" s="9"/>
      <c r="E200" s="10"/>
      <c r="F200" s="10" t="s">
        <v>14</v>
      </c>
      <c r="G200" s="11"/>
      <c r="H200" s="10"/>
      <c r="I200" s="10" t="s">
        <v>13</v>
      </c>
      <c r="J200" s="10"/>
      <c r="K200" s="11"/>
      <c r="L200" s="9"/>
      <c r="M200" s="10"/>
      <c r="N200" s="6" t="s">
        <v>1</v>
      </c>
      <c r="O200" s="10"/>
      <c r="P200" s="10"/>
      <c r="Q200" s="10"/>
      <c r="R200" s="71"/>
      <c r="S200" s="71"/>
      <c r="T200" s="15" t="s">
        <v>15</v>
      </c>
    </row>
    <row r="201" spans="1:20" ht="45" x14ac:dyDescent="0.2">
      <c r="A201" s="17" t="s">
        <v>2</v>
      </c>
      <c r="B201" s="17" t="s">
        <v>211</v>
      </c>
      <c r="C201" s="3" t="s">
        <v>3</v>
      </c>
      <c r="D201" s="12" t="s">
        <v>4</v>
      </c>
      <c r="E201" s="13" t="s">
        <v>5</v>
      </c>
      <c r="F201" s="12" t="s">
        <v>6</v>
      </c>
      <c r="G201" s="12" t="s">
        <v>3</v>
      </c>
      <c r="H201" s="3" t="s">
        <v>10</v>
      </c>
      <c r="I201" s="3" t="s">
        <v>5</v>
      </c>
      <c r="J201" s="3" t="s">
        <v>12</v>
      </c>
      <c r="K201" s="3" t="s">
        <v>11</v>
      </c>
      <c r="L201" s="1" t="s">
        <v>7</v>
      </c>
      <c r="M201" s="33" t="s">
        <v>5</v>
      </c>
      <c r="N201" s="2" t="s">
        <v>9</v>
      </c>
      <c r="O201" s="3" t="s">
        <v>8</v>
      </c>
      <c r="P201" s="3" t="s">
        <v>6</v>
      </c>
      <c r="Q201" s="14" t="s">
        <v>3</v>
      </c>
      <c r="R201" s="14" t="s">
        <v>212</v>
      </c>
      <c r="S201" s="14" t="s">
        <v>213</v>
      </c>
      <c r="T201" s="3" t="s">
        <v>16</v>
      </c>
    </row>
    <row r="202" spans="1:20" ht="13.5" customHeight="1" x14ac:dyDescent="0.2">
      <c r="A202" s="261" t="s">
        <v>208</v>
      </c>
      <c r="B202" s="261">
        <v>15</v>
      </c>
      <c r="C202" s="261" t="s">
        <v>18</v>
      </c>
      <c r="D202" s="261" t="s">
        <v>209</v>
      </c>
      <c r="E202" s="270" t="s">
        <v>305</v>
      </c>
      <c r="F202" s="290" t="s">
        <v>18</v>
      </c>
      <c r="G202" s="278">
        <f>F202*C202</f>
        <v>1</v>
      </c>
      <c r="H202" s="261" t="s">
        <v>205</v>
      </c>
      <c r="I202" s="302" t="s">
        <v>89</v>
      </c>
      <c r="J202" s="261">
        <v>1</v>
      </c>
      <c r="K202" s="278">
        <f>J202*G202</f>
        <v>1</v>
      </c>
      <c r="L202" s="18" t="s">
        <v>18</v>
      </c>
      <c r="M202" s="411" t="s">
        <v>89</v>
      </c>
      <c r="N202" s="8" t="s">
        <v>90</v>
      </c>
      <c r="O202" s="8">
        <v>1</v>
      </c>
      <c r="P202" s="129">
        <f>O202*$F$202</f>
        <v>1</v>
      </c>
      <c r="Q202" s="129">
        <f>P202*$C$202</f>
        <v>1</v>
      </c>
      <c r="R202" s="183">
        <f>Q202*0.51</f>
        <v>0.51</v>
      </c>
      <c r="S202" s="31" t="s">
        <v>214</v>
      </c>
      <c r="T202" s="55"/>
    </row>
    <row r="203" spans="1:20" ht="13.5" customHeight="1" x14ac:dyDescent="0.2">
      <c r="A203" s="262"/>
      <c r="B203" s="262"/>
      <c r="C203" s="262"/>
      <c r="D203" s="262"/>
      <c r="E203" s="270"/>
      <c r="F203" s="291"/>
      <c r="G203" s="279"/>
      <c r="H203" s="262"/>
      <c r="I203" s="299"/>
      <c r="J203" s="262"/>
      <c r="K203" s="279"/>
      <c r="L203" s="18" t="s">
        <v>19</v>
      </c>
      <c r="M203" s="412" t="s">
        <v>91</v>
      </c>
      <c r="N203" s="30" t="s">
        <v>92</v>
      </c>
      <c r="O203" s="30">
        <v>2</v>
      </c>
      <c r="P203" s="129">
        <f t="shared" ref="P203:P219" si="22">O203*$F$202</f>
        <v>2</v>
      </c>
      <c r="Q203" s="129">
        <f t="shared" ref="Q203:R219" si="23">P203*$C$202</f>
        <v>2</v>
      </c>
      <c r="R203" s="129">
        <f t="shared" si="23"/>
        <v>2</v>
      </c>
      <c r="S203" s="31" t="s">
        <v>215</v>
      </c>
      <c r="T203" s="55"/>
    </row>
    <row r="204" spans="1:20" ht="13.5" customHeight="1" x14ac:dyDescent="0.2">
      <c r="A204" s="262"/>
      <c r="B204" s="262"/>
      <c r="C204" s="262"/>
      <c r="D204" s="262"/>
      <c r="E204" s="270"/>
      <c r="F204" s="291"/>
      <c r="G204" s="279"/>
      <c r="H204" s="262"/>
      <c r="I204" s="299"/>
      <c r="J204" s="262"/>
      <c r="K204" s="279"/>
      <c r="L204" s="18" t="s">
        <v>20</v>
      </c>
      <c r="M204" s="412" t="s">
        <v>93</v>
      </c>
      <c r="N204" s="30" t="s">
        <v>94</v>
      </c>
      <c r="O204" s="30">
        <v>1</v>
      </c>
      <c r="P204" s="129">
        <f t="shared" si="22"/>
        <v>1</v>
      </c>
      <c r="Q204" s="129">
        <f t="shared" si="23"/>
        <v>1</v>
      </c>
      <c r="R204" s="129">
        <f t="shared" si="23"/>
        <v>1</v>
      </c>
      <c r="S204" s="31" t="s">
        <v>215</v>
      </c>
      <c r="T204" s="55"/>
    </row>
    <row r="205" spans="1:20" ht="13.5" customHeight="1" x14ac:dyDescent="0.2">
      <c r="A205" s="262"/>
      <c r="B205" s="262"/>
      <c r="C205" s="262"/>
      <c r="D205" s="262"/>
      <c r="E205" s="270"/>
      <c r="F205" s="291"/>
      <c r="G205" s="279"/>
      <c r="H205" s="262"/>
      <c r="I205" s="299"/>
      <c r="J205" s="262"/>
      <c r="K205" s="279"/>
      <c r="L205" s="18" t="s">
        <v>21</v>
      </c>
      <c r="M205" s="412" t="s">
        <v>95</v>
      </c>
      <c r="N205" s="30" t="s">
        <v>96</v>
      </c>
      <c r="O205" s="30">
        <v>1</v>
      </c>
      <c r="P205" s="129">
        <f t="shared" si="22"/>
        <v>1</v>
      </c>
      <c r="Q205" s="129">
        <f t="shared" si="23"/>
        <v>1</v>
      </c>
      <c r="R205" s="129">
        <f t="shared" si="23"/>
        <v>1</v>
      </c>
      <c r="S205" s="31" t="s">
        <v>215</v>
      </c>
      <c r="T205" s="55"/>
    </row>
    <row r="206" spans="1:20" ht="13.5" customHeight="1" thickBot="1" x14ac:dyDescent="0.25">
      <c r="A206" s="262"/>
      <c r="B206" s="262"/>
      <c r="C206" s="262"/>
      <c r="D206" s="262"/>
      <c r="E206" s="270"/>
      <c r="F206" s="291"/>
      <c r="G206" s="279"/>
      <c r="H206" s="287"/>
      <c r="I206" s="303"/>
      <c r="J206" s="287"/>
      <c r="K206" s="280"/>
      <c r="L206" s="25" t="s">
        <v>22</v>
      </c>
      <c r="M206" s="413" t="s">
        <v>97</v>
      </c>
      <c r="N206" s="44" t="s">
        <v>98</v>
      </c>
      <c r="O206" s="44">
        <v>2</v>
      </c>
      <c r="P206" s="125">
        <f t="shared" si="22"/>
        <v>2</v>
      </c>
      <c r="Q206" s="125">
        <f t="shared" si="23"/>
        <v>2</v>
      </c>
      <c r="R206" s="125">
        <f t="shared" si="23"/>
        <v>2</v>
      </c>
      <c r="S206" s="35" t="s">
        <v>215</v>
      </c>
      <c r="T206" s="57"/>
    </row>
    <row r="207" spans="1:20" ht="13.5" customHeight="1" x14ac:dyDescent="0.2">
      <c r="A207" s="262"/>
      <c r="B207" s="262"/>
      <c r="C207" s="262"/>
      <c r="D207" s="262"/>
      <c r="E207" s="270"/>
      <c r="F207" s="291"/>
      <c r="G207" s="279"/>
      <c r="H207" s="51" t="s">
        <v>34</v>
      </c>
      <c r="I207" s="37" t="s">
        <v>99</v>
      </c>
      <c r="J207" s="51" t="s">
        <v>34</v>
      </c>
      <c r="K207" s="154" t="s">
        <v>34</v>
      </c>
      <c r="L207" s="45" t="s">
        <v>18</v>
      </c>
      <c r="M207" s="414" t="s">
        <v>99</v>
      </c>
      <c r="N207" s="37" t="s">
        <v>100</v>
      </c>
      <c r="O207" s="37">
        <v>1</v>
      </c>
      <c r="P207" s="123">
        <f t="shared" si="22"/>
        <v>1</v>
      </c>
      <c r="Q207" s="123">
        <f t="shared" si="23"/>
        <v>1</v>
      </c>
      <c r="R207" s="184">
        <f>1.5*Q207</f>
        <v>1.5</v>
      </c>
      <c r="S207" s="34" t="s">
        <v>214</v>
      </c>
      <c r="T207" s="56"/>
    </row>
    <row r="208" spans="1:20" ht="13.5" customHeight="1" x14ac:dyDescent="0.2">
      <c r="A208" s="262"/>
      <c r="B208" s="262"/>
      <c r="C208" s="262"/>
      <c r="D208" s="262"/>
      <c r="E208" s="270"/>
      <c r="F208" s="291"/>
      <c r="G208" s="279"/>
      <c r="H208" s="50" t="s">
        <v>34</v>
      </c>
      <c r="I208" s="8" t="s">
        <v>101</v>
      </c>
      <c r="J208" s="50" t="s">
        <v>34</v>
      </c>
      <c r="K208" s="181" t="s">
        <v>34</v>
      </c>
      <c r="L208" s="18" t="s">
        <v>19</v>
      </c>
      <c r="M208" s="411" t="s">
        <v>101</v>
      </c>
      <c r="N208" s="8" t="s">
        <v>102</v>
      </c>
      <c r="O208" s="8">
        <v>1</v>
      </c>
      <c r="P208" s="129">
        <f t="shared" si="22"/>
        <v>1</v>
      </c>
      <c r="Q208" s="129">
        <f t="shared" si="23"/>
        <v>1</v>
      </c>
      <c r="R208" s="183">
        <f>1.2*Q208</f>
        <v>1.2</v>
      </c>
      <c r="S208" s="31" t="s">
        <v>214</v>
      </c>
      <c r="T208" s="55"/>
    </row>
    <row r="209" spans="1:20" ht="13.5" customHeight="1" x14ac:dyDescent="0.2">
      <c r="A209" s="262"/>
      <c r="B209" s="262"/>
      <c r="C209" s="262"/>
      <c r="D209" s="262"/>
      <c r="E209" s="270"/>
      <c r="F209" s="291"/>
      <c r="G209" s="279"/>
      <c r="H209" s="50" t="s">
        <v>34</v>
      </c>
      <c r="I209" s="31" t="s">
        <v>103</v>
      </c>
      <c r="J209" s="50" t="s">
        <v>34</v>
      </c>
      <c r="K209" s="181" t="s">
        <v>34</v>
      </c>
      <c r="L209" s="18" t="s">
        <v>20</v>
      </c>
      <c r="M209" s="394" t="s">
        <v>103</v>
      </c>
      <c r="N209" s="32" t="s">
        <v>104</v>
      </c>
      <c r="O209" s="31">
        <v>1</v>
      </c>
      <c r="P209" s="129">
        <f t="shared" si="22"/>
        <v>1</v>
      </c>
      <c r="Q209" s="129">
        <f t="shared" si="23"/>
        <v>1</v>
      </c>
      <c r="R209" s="129">
        <f t="shared" ref="R209" si="24">Q209*$C$202</f>
        <v>1</v>
      </c>
      <c r="S209" s="31" t="s">
        <v>215</v>
      </c>
      <c r="T209" s="55"/>
    </row>
    <row r="210" spans="1:20" ht="13.5" customHeight="1" thickBot="1" x14ac:dyDescent="0.25">
      <c r="A210" s="262"/>
      <c r="B210" s="262"/>
      <c r="C210" s="262"/>
      <c r="D210" s="262"/>
      <c r="E210" s="270"/>
      <c r="F210" s="291"/>
      <c r="G210" s="279"/>
      <c r="H210" s="60" t="s">
        <v>34</v>
      </c>
      <c r="I210" s="35" t="s">
        <v>313</v>
      </c>
      <c r="J210" s="60" t="s">
        <v>34</v>
      </c>
      <c r="K210" s="182" t="s">
        <v>34</v>
      </c>
      <c r="L210" s="25" t="s">
        <v>21</v>
      </c>
      <c r="M210" s="415" t="s">
        <v>313</v>
      </c>
      <c r="N210" s="36" t="s">
        <v>34</v>
      </c>
      <c r="O210" s="35">
        <v>1</v>
      </c>
      <c r="P210" s="125">
        <f t="shared" si="22"/>
        <v>1</v>
      </c>
      <c r="Q210" s="125">
        <f t="shared" si="23"/>
        <v>1</v>
      </c>
      <c r="R210" s="125">
        <f t="shared" ref="R210" si="25">Q210*$C$202</f>
        <v>1</v>
      </c>
      <c r="S210" s="35" t="s">
        <v>215</v>
      </c>
      <c r="T210" s="57"/>
    </row>
    <row r="211" spans="1:20" ht="13.5" customHeight="1" x14ac:dyDescent="0.2">
      <c r="A211" s="262"/>
      <c r="B211" s="262"/>
      <c r="C211" s="262"/>
      <c r="D211" s="262"/>
      <c r="E211" s="270"/>
      <c r="F211" s="291"/>
      <c r="G211" s="279"/>
      <c r="H211" s="286" t="s">
        <v>206</v>
      </c>
      <c r="I211" s="298" t="s">
        <v>51</v>
      </c>
      <c r="J211" s="286" t="s">
        <v>18</v>
      </c>
      <c r="K211" s="288">
        <f>J211*G202</f>
        <v>1</v>
      </c>
      <c r="L211" s="29" t="s">
        <v>18</v>
      </c>
      <c r="M211" s="409" t="s">
        <v>116</v>
      </c>
      <c r="N211" s="47" t="s">
        <v>117</v>
      </c>
      <c r="O211" s="30">
        <v>1</v>
      </c>
      <c r="P211" s="132">
        <f t="shared" si="22"/>
        <v>1</v>
      </c>
      <c r="Q211" s="132">
        <f t="shared" si="23"/>
        <v>1</v>
      </c>
      <c r="R211" s="132">
        <f t="shared" ref="R211" si="26">Q211*$C$202</f>
        <v>1</v>
      </c>
      <c r="S211" s="46" t="s">
        <v>215</v>
      </c>
      <c r="T211" s="56"/>
    </row>
    <row r="212" spans="1:20" ht="13.5" customHeight="1" x14ac:dyDescent="0.2">
      <c r="A212" s="262"/>
      <c r="B212" s="262"/>
      <c r="C212" s="262"/>
      <c r="D212" s="262"/>
      <c r="E212" s="270"/>
      <c r="F212" s="291"/>
      <c r="G212" s="279"/>
      <c r="H212" s="262"/>
      <c r="I212" s="299"/>
      <c r="J212" s="262"/>
      <c r="K212" s="279"/>
      <c r="L212" s="18" t="s">
        <v>19</v>
      </c>
      <c r="M212" s="399" t="s">
        <v>118</v>
      </c>
      <c r="N212" s="49" t="s">
        <v>117</v>
      </c>
      <c r="O212" s="30">
        <v>2</v>
      </c>
      <c r="P212" s="129">
        <f t="shared" si="22"/>
        <v>2</v>
      </c>
      <c r="Q212" s="129">
        <f t="shared" si="23"/>
        <v>2</v>
      </c>
      <c r="R212" s="129">
        <f t="shared" ref="R212" si="27">Q212*$C$202</f>
        <v>2</v>
      </c>
      <c r="S212" s="31" t="s">
        <v>215</v>
      </c>
      <c r="T212" s="55"/>
    </row>
    <row r="213" spans="1:20" ht="13.5" customHeight="1" x14ac:dyDescent="0.2">
      <c r="A213" s="262"/>
      <c r="B213" s="262"/>
      <c r="C213" s="262"/>
      <c r="D213" s="262"/>
      <c r="E213" s="270"/>
      <c r="F213" s="291"/>
      <c r="G213" s="279"/>
      <c r="H213" s="262"/>
      <c r="I213" s="299"/>
      <c r="J213" s="262"/>
      <c r="K213" s="279"/>
      <c r="L213" s="18" t="s">
        <v>20</v>
      </c>
      <c r="M213" s="399" t="s">
        <v>119</v>
      </c>
      <c r="N213" s="49" t="s">
        <v>117</v>
      </c>
      <c r="O213" s="30">
        <v>1</v>
      </c>
      <c r="P213" s="129">
        <f t="shared" si="22"/>
        <v>1</v>
      </c>
      <c r="Q213" s="129">
        <f t="shared" si="23"/>
        <v>1</v>
      </c>
      <c r="R213" s="129">
        <f t="shared" ref="R213" si="28">Q213*$C$202</f>
        <v>1</v>
      </c>
      <c r="S213" s="31" t="s">
        <v>215</v>
      </c>
      <c r="T213" s="55"/>
    </row>
    <row r="214" spans="1:20" ht="13.5" customHeight="1" x14ac:dyDescent="0.2">
      <c r="A214" s="262"/>
      <c r="B214" s="262"/>
      <c r="C214" s="262"/>
      <c r="D214" s="262"/>
      <c r="E214" s="270"/>
      <c r="F214" s="291"/>
      <c r="G214" s="279"/>
      <c r="H214" s="262"/>
      <c r="I214" s="299"/>
      <c r="J214" s="262"/>
      <c r="K214" s="279"/>
      <c r="L214" s="18" t="s">
        <v>21</v>
      </c>
      <c r="M214" s="399" t="s">
        <v>120</v>
      </c>
      <c r="N214" s="49" t="s">
        <v>117</v>
      </c>
      <c r="O214" s="30">
        <v>1</v>
      </c>
      <c r="P214" s="129">
        <f t="shared" si="22"/>
        <v>1</v>
      </c>
      <c r="Q214" s="129">
        <f t="shared" si="23"/>
        <v>1</v>
      </c>
      <c r="R214" s="129">
        <f t="shared" ref="R214" si="29">Q214*$C$202</f>
        <v>1</v>
      </c>
      <c r="S214" s="31" t="s">
        <v>215</v>
      </c>
      <c r="T214" s="55"/>
    </row>
    <row r="215" spans="1:20" ht="13.5" customHeight="1" x14ac:dyDescent="0.2">
      <c r="A215" s="262"/>
      <c r="B215" s="262"/>
      <c r="C215" s="262"/>
      <c r="D215" s="262"/>
      <c r="E215" s="270"/>
      <c r="F215" s="291"/>
      <c r="G215" s="279"/>
      <c r="H215" s="262"/>
      <c r="I215" s="299"/>
      <c r="J215" s="262"/>
      <c r="K215" s="279"/>
      <c r="L215" s="18" t="s">
        <v>22</v>
      </c>
      <c r="M215" s="399" t="s">
        <v>121</v>
      </c>
      <c r="N215" s="49" t="s">
        <v>122</v>
      </c>
      <c r="O215" s="8">
        <v>2</v>
      </c>
      <c r="P215" s="129">
        <f t="shared" si="22"/>
        <v>2</v>
      </c>
      <c r="Q215" s="129">
        <f t="shared" si="23"/>
        <v>2</v>
      </c>
      <c r="R215" s="129">
        <f t="shared" ref="R215" si="30">Q215*$C$202</f>
        <v>2</v>
      </c>
      <c r="S215" s="31" t="s">
        <v>215</v>
      </c>
      <c r="T215" s="55"/>
    </row>
    <row r="216" spans="1:20" ht="13.5" customHeight="1" x14ac:dyDescent="0.2">
      <c r="A216" s="262"/>
      <c r="B216" s="262"/>
      <c r="C216" s="262"/>
      <c r="D216" s="262"/>
      <c r="E216" s="270"/>
      <c r="F216" s="291"/>
      <c r="G216" s="279"/>
      <c r="H216" s="262"/>
      <c r="I216" s="299"/>
      <c r="J216" s="262"/>
      <c r="K216" s="279"/>
      <c r="L216" s="45" t="s">
        <v>23</v>
      </c>
      <c r="M216" s="409" t="s">
        <v>123</v>
      </c>
      <c r="N216" s="47" t="s">
        <v>124</v>
      </c>
      <c r="O216" s="37">
        <v>1</v>
      </c>
      <c r="P216" s="123">
        <f t="shared" si="22"/>
        <v>1</v>
      </c>
      <c r="Q216" s="123">
        <f t="shared" si="23"/>
        <v>1</v>
      </c>
      <c r="R216" s="123">
        <f t="shared" ref="R216" si="31">Q216*$C$202</f>
        <v>1</v>
      </c>
      <c r="S216" s="34" t="s">
        <v>215</v>
      </c>
      <c r="T216" s="55"/>
    </row>
    <row r="217" spans="1:20" ht="13.5" customHeight="1" x14ac:dyDescent="0.2">
      <c r="A217" s="262"/>
      <c r="B217" s="262"/>
      <c r="C217" s="262"/>
      <c r="D217" s="262"/>
      <c r="E217" s="270"/>
      <c r="F217" s="291"/>
      <c r="G217" s="279"/>
      <c r="H217" s="262"/>
      <c r="I217" s="299"/>
      <c r="J217" s="262"/>
      <c r="K217" s="279"/>
      <c r="L217" s="18" t="s">
        <v>24</v>
      </c>
      <c r="M217" s="399" t="s">
        <v>125</v>
      </c>
      <c r="N217" s="49" t="s">
        <v>38</v>
      </c>
      <c r="O217" s="8">
        <v>1</v>
      </c>
      <c r="P217" s="129">
        <f t="shared" si="22"/>
        <v>1</v>
      </c>
      <c r="Q217" s="129">
        <f t="shared" si="23"/>
        <v>1</v>
      </c>
      <c r="R217" s="129">
        <f t="shared" ref="R217" si="32">Q217*$C$202</f>
        <v>1</v>
      </c>
      <c r="S217" s="31" t="s">
        <v>215</v>
      </c>
      <c r="T217" s="55"/>
    </row>
    <row r="218" spans="1:20" ht="13.5" customHeight="1" x14ac:dyDescent="0.2">
      <c r="A218" s="262"/>
      <c r="B218" s="262"/>
      <c r="C218" s="262"/>
      <c r="D218" s="262"/>
      <c r="E218" s="270"/>
      <c r="F218" s="291"/>
      <c r="G218" s="279"/>
      <c r="H218" s="262"/>
      <c r="I218" s="299"/>
      <c r="J218" s="262"/>
      <c r="K218" s="279"/>
      <c r="L218" s="18" t="s">
        <v>25</v>
      </c>
      <c r="M218" s="399" t="s">
        <v>126</v>
      </c>
      <c r="N218" s="49" t="s">
        <v>38</v>
      </c>
      <c r="O218" s="31">
        <v>1</v>
      </c>
      <c r="P218" s="129">
        <f t="shared" si="22"/>
        <v>1</v>
      </c>
      <c r="Q218" s="129">
        <f t="shared" si="23"/>
        <v>1</v>
      </c>
      <c r="R218" s="129">
        <f t="shared" ref="R218" si="33">Q218*$C$202</f>
        <v>1</v>
      </c>
      <c r="S218" s="31" t="s">
        <v>215</v>
      </c>
      <c r="T218" s="55"/>
    </row>
    <row r="219" spans="1:20" ht="13.5" customHeight="1" x14ac:dyDescent="0.2">
      <c r="A219" s="263"/>
      <c r="B219" s="263"/>
      <c r="C219" s="263"/>
      <c r="D219" s="263"/>
      <c r="E219" s="270"/>
      <c r="F219" s="276"/>
      <c r="G219" s="289"/>
      <c r="H219" s="263"/>
      <c r="I219" s="300"/>
      <c r="J219" s="263"/>
      <c r="K219" s="289"/>
      <c r="L219" s="18" t="s">
        <v>26</v>
      </c>
      <c r="M219" s="399" t="s">
        <v>129</v>
      </c>
      <c r="N219" s="49" t="s">
        <v>117</v>
      </c>
      <c r="O219" s="31">
        <v>1</v>
      </c>
      <c r="P219" s="129">
        <f t="shared" si="22"/>
        <v>1</v>
      </c>
      <c r="Q219" s="129">
        <f t="shared" si="23"/>
        <v>1</v>
      </c>
      <c r="R219" s="129">
        <f t="shared" ref="R219" si="34">Q219*$C$202</f>
        <v>1</v>
      </c>
      <c r="S219" s="31" t="s">
        <v>215</v>
      </c>
      <c r="T219" s="55"/>
    </row>
  </sheetData>
  <mergeCells count="116">
    <mergeCell ref="K109:K112"/>
    <mergeCell ref="J109:J112"/>
    <mergeCell ref="I109:I112"/>
    <mergeCell ref="I113:I114"/>
    <mergeCell ref="J113:J114"/>
    <mergeCell ref="K113:K114"/>
    <mergeCell ref="K117:K118"/>
    <mergeCell ref="K105:K108"/>
    <mergeCell ref="K180:K185"/>
    <mergeCell ref="K115:K116"/>
    <mergeCell ref="J115:J116"/>
    <mergeCell ref="K141:K155"/>
    <mergeCell ref="J141:J155"/>
    <mergeCell ref="B169:B185"/>
    <mergeCell ref="H178:H179"/>
    <mergeCell ref="I178:I179"/>
    <mergeCell ref="A200:C200"/>
    <mergeCell ref="D169:D185"/>
    <mergeCell ref="E169:E185"/>
    <mergeCell ref="B105:B123"/>
    <mergeCell ref="C105:C123"/>
    <mergeCell ref="A137:A155"/>
    <mergeCell ref="C137:C155"/>
    <mergeCell ref="D137:D155"/>
    <mergeCell ref="I141:I155"/>
    <mergeCell ref="H141:H155"/>
    <mergeCell ref="E137:E155"/>
    <mergeCell ref="F137:F155"/>
    <mergeCell ref="G137:G155"/>
    <mergeCell ref="J211:J219"/>
    <mergeCell ref="F169:F185"/>
    <mergeCell ref="G169:G185"/>
    <mergeCell ref="J178:J179"/>
    <mergeCell ref="K211:K219"/>
    <mergeCell ref="A202:A219"/>
    <mergeCell ref="C202:C219"/>
    <mergeCell ref="D202:D219"/>
    <mergeCell ref="E202:E219"/>
    <mergeCell ref="F202:F219"/>
    <mergeCell ref="G202:G219"/>
    <mergeCell ref="K202:K206"/>
    <mergeCell ref="H202:H206"/>
    <mergeCell ref="I202:I206"/>
    <mergeCell ref="J202:J206"/>
    <mergeCell ref="H211:H219"/>
    <mergeCell ref="I211:I219"/>
    <mergeCell ref="A169:A185"/>
    <mergeCell ref="C169:C185"/>
    <mergeCell ref="K178:K179"/>
    <mergeCell ref="H180:H185"/>
    <mergeCell ref="I180:I185"/>
    <mergeCell ref="J180:J185"/>
    <mergeCell ref="B202:B219"/>
    <mergeCell ref="J74:J79"/>
    <mergeCell ref="K74:K79"/>
    <mergeCell ref="J81:J86"/>
    <mergeCell ref="K81:K86"/>
    <mergeCell ref="G74:G86"/>
    <mergeCell ref="F74:F86"/>
    <mergeCell ref="E74:E86"/>
    <mergeCell ref="D74:D86"/>
    <mergeCell ref="H74:H79"/>
    <mergeCell ref="I74:I79"/>
    <mergeCell ref="H81:H86"/>
    <mergeCell ref="I81:I86"/>
    <mergeCell ref="A103:C103"/>
    <mergeCell ref="A167:C167"/>
    <mergeCell ref="A135:C135"/>
    <mergeCell ref="H105:H108"/>
    <mergeCell ref="I105:I108"/>
    <mergeCell ref="J105:J108"/>
    <mergeCell ref="H117:H118"/>
    <mergeCell ref="I117:I118"/>
    <mergeCell ref="J117:J118"/>
    <mergeCell ref="A105:A123"/>
    <mergeCell ref="G105:G123"/>
    <mergeCell ref="F105:F123"/>
    <mergeCell ref="E105:E123"/>
    <mergeCell ref="D105:D123"/>
    <mergeCell ref="H113:H114"/>
    <mergeCell ref="H109:H112"/>
    <mergeCell ref="H115:H116"/>
    <mergeCell ref="I115:I116"/>
    <mergeCell ref="B137:B155"/>
    <mergeCell ref="J45:J60"/>
    <mergeCell ref="K45:K60"/>
    <mergeCell ref="H8:H11"/>
    <mergeCell ref="I8:I11"/>
    <mergeCell ref="J8:J11"/>
    <mergeCell ref="K8:K11"/>
    <mergeCell ref="H13:H18"/>
    <mergeCell ref="I13:I18"/>
    <mergeCell ref="J13:J18"/>
    <mergeCell ref="K13:K18"/>
    <mergeCell ref="I45:I60"/>
    <mergeCell ref="H45:H60"/>
    <mergeCell ref="D8:D18"/>
    <mergeCell ref="B8:B18"/>
    <mergeCell ref="G45:G60"/>
    <mergeCell ref="E8:E18"/>
    <mergeCell ref="F8:F18"/>
    <mergeCell ref="G8:G18"/>
    <mergeCell ref="C45:C60"/>
    <mergeCell ref="D45:D60"/>
    <mergeCell ref="E45:E60"/>
    <mergeCell ref="F45:F60"/>
    <mergeCell ref="B45:B60"/>
    <mergeCell ref="B74:B86"/>
    <mergeCell ref="A6:C6"/>
    <mergeCell ref="A8:A18"/>
    <mergeCell ref="C8:C18"/>
    <mergeCell ref="A43:C43"/>
    <mergeCell ref="A72:C72"/>
    <mergeCell ref="A45:A60"/>
    <mergeCell ref="A74:A86"/>
    <mergeCell ref="C74:C86"/>
  </mergeCells>
  <dataValidations disablePrompts="1" count="2">
    <dataValidation type="list" allowBlank="1" showInputMessage="1" showErrorMessage="1" sqref="B8:B18 B45:B60 B74:B86 B105:B123 B137:B155 B169:B185 B202:B219">
      <formula1>$B$26:$B$29</formula1>
    </dataValidation>
    <dataValidation type="list" allowBlank="1" showInputMessage="1" showErrorMessage="1" sqref="E105:E123 E137:E155">
      <formula1>$A$193:$A$194</formula1>
    </dataValidation>
  </dataValidation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16"/>
  <sheetViews>
    <sheetView view="pageLayout" zoomScaleNormal="100" workbookViewId="0">
      <selection activeCell="C217" sqref="C217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8.25" customWidth="1"/>
    <col min="6" max="6" width="5.875" customWidth="1"/>
    <col min="7" max="7" width="5.375" customWidth="1"/>
    <col min="8" max="8" width="5.25" customWidth="1"/>
    <col min="9" max="9" width="9.625" customWidth="1"/>
    <col min="10" max="10" width="6.75" customWidth="1"/>
    <col min="11" max="11" width="6" bestFit="1" customWidth="1"/>
    <col min="12" max="12" width="5.375" customWidth="1"/>
    <col min="13" max="13" width="17.875" customWidth="1"/>
    <col min="14" max="14" width="11" customWidth="1"/>
    <col min="15" max="15" width="5.25" customWidth="1"/>
    <col min="16" max="16" width="5.625" customWidth="1"/>
    <col min="17" max="18" width="5.125" customWidth="1"/>
    <col min="19" max="19" width="4.625" customWidth="1"/>
    <col min="20" max="20" width="5.62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256" t="s">
        <v>0</v>
      </c>
      <c r="B6" s="257"/>
      <c r="C6" s="257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71"/>
      <c r="S6" s="71"/>
      <c r="T6" s="15" t="s">
        <v>15</v>
      </c>
    </row>
    <row r="7" spans="1:20" ht="49.15" customHeight="1" x14ac:dyDescent="0.2">
      <c r="A7" s="17" t="s">
        <v>2</v>
      </c>
      <c r="B7" s="17" t="s">
        <v>211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3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212</v>
      </c>
      <c r="S7" s="14" t="s">
        <v>213</v>
      </c>
      <c r="T7" s="3" t="s">
        <v>16</v>
      </c>
    </row>
    <row r="8" spans="1:20" ht="14.25" customHeight="1" x14ac:dyDescent="0.2">
      <c r="A8" s="375" t="s">
        <v>208</v>
      </c>
      <c r="B8" s="375">
        <v>30</v>
      </c>
      <c r="C8" s="334" t="s">
        <v>19</v>
      </c>
      <c r="D8" s="365" t="s">
        <v>205</v>
      </c>
      <c r="E8" s="338" t="s">
        <v>218</v>
      </c>
      <c r="F8" s="343" t="s">
        <v>18</v>
      </c>
      <c r="G8" s="368">
        <f>F8*C8</f>
        <v>2</v>
      </c>
      <c r="H8" s="365" t="s">
        <v>205</v>
      </c>
      <c r="I8" s="365" t="s">
        <v>218</v>
      </c>
      <c r="J8" s="365">
        <v>1</v>
      </c>
      <c r="K8" s="365">
        <v>2</v>
      </c>
      <c r="L8" s="91" t="s">
        <v>18</v>
      </c>
      <c r="M8" s="96" t="s">
        <v>217</v>
      </c>
      <c r="N8" s="84" t="s">
        <v>54</v>
      </c>
      <c r="O8" s="90">
        <v>1</v>
      </c>
      <c r="P8" s="91">
        <f>O8*$F$8</f>
        <v>1</v>
      </c>
      <c r="Q8" s="91">
        <f>P8*$C$8</f>
        <v>2</v>
      </c>
      <c r="R8" s="91">
        <f>Q8*5.5</f>
        <v>11</v>
      </c>
      <c r="S8" s="90" t="s">
        <v>214</v>
      </c>
      <c r="T8" s="5"/>
    </row>
    <row r="9" spans="1:20" ht="14.25" customHeight="1" x14ac:dyDescent="0.2">
      <c r="A9" s="376"/>
      <c r="B9" s="376"/>
      <c r="C9" s="324"/>
      <c r="D9" s="365"/>
      <c r="E9" s="338"/>
      <c r="F9" s="343"/>
      <c r="G9" s="350"/>
      <c r="H9" s="365"/>
      <c r="I9" s="365"/>
      <c r="J9" s="365"/>
      <c r="K9" s="365"/>
      <c r="L9" s="91" t="s">
        <v>19</v>
      </c>
      <c r="M9" s="96" t="s">
        <v>219</v>
      </c>
      <c r="N9" s="84" t="s">
        <v>56</v>
      </c>
      <c r="O9" s="90">
        <v>1</v>
      </c>
      <c r="P9" s="91">
        <f t="shared" ref="P9:P18" si="0">O9*$F$8</f>
        <v>1</v>
      </c>
      <c r="Q9" s="90">
        <f t="shared" ref="Q9:Q18" si="1">P9*$C$8</f>
        <v>2</v>
      </c>
      <c r="R9" s="90">
        <f>15.19*Q9</f>
        <v>30.38</v>
      </c>
      <c r="S9" s="90" t="s">
        <v>214</v>
      </c>
      <c r="T9" s="5"/>
    </row>
    <row r="10" spans="1:20" ht="14.25" customHeight="1" x14ac:dyDescent="0.2">
      <c r="A10" s="376"/>
      <c r="B10" s="376"/>
      <c r="C10" s="324"/>
      <c r="D10" s="365"/>
      <c r="E10" s="338"/>
      <c r="F10" s="343"/>
      <c r="G10" s="350"/>
      <c r="H10" s="365"/>
      <c r="I10" s="365"/>
      <c r="J10" s="365"/>
      <c r="K10" s="365"/>
      <c r="L10" s="91" t="s">
        <v>20</v>
      </c>
      <c r="M10" s="96" t="s">
        <v>220</v>
      </c>
      <c r="N10" s="85" t="str">
        <f>IF(B8=30,"4x234x1648",IF(B8=20,"4x234x1192",IF(B8=25,"4x234x1420",IF(B8=15,"4x234x964"))))</f>
        <v>4x234x1648</v>
      </c>
      <c r="O10" s="90">
        <v>2</v>
      </c>
      <c r="P10" s="90">
        <f t="shared" si="0"/>
        <v>2</v>
      </c>
      <c r="Q10" s="90">
        <f t="shared" si="1"/>
        <v>4</v>
      </c>
      <c r="R10" s="92">
        <f>(IF(B8=30,"12.1",IF(B8=20,"8.75",IF(B8=25,"10.42",IF(B8=15,"7")))))*Q10</f>
        <v>48.4</v>
      </c>
      <c r="S10" s="90" t="s">
        <v>214</v>
      </c>
      <c r="T10" s="5"/>
    </row>
    <row r="11" spans="1:20" ht="14.25" customHeight="1" thickBot="1" x14ac:dyDescent="0.25">
      <c r="A11" s="376"/>
      <c r="B11" s="376"/>
      <c r="C11" s="324"/>
      <c r="D11" s="365"/>
      <c r="E11" s="338"/>
      <c r="F11" s="343"/>
      <c r="G11" s="350"/>
      <c r="H11" s="366"/>
      <c r="I11" s="366"/>
      <c r="J11" s="366"/>
      <c r="K11" s="366"/>
      <c r="L11" s="101" t="s">
        <v>21</v>
      </c>
      <c r="M11" s="97" t="s">
        <v>221</v>
      </c>
      <c r="N11" s="86" t="s">
        <v>216</v>
      </c>
      <c r="O11" s="93">
        <v>4</v>
      </c>
      <c r="P11" s="93">
        <f t="shared" si="0"/>
        <v>4</v>
      </c>
      <c r="Q11" s="93">
        <f t="shared" si="1"/>
        <v>8</v>
      </c>
      <c r="R11" s="93">
        <f>0.75*Q11</f>
        <v>6</v>
      </c>
      <c r="S11" s="93" t="s">
        <v>214</v>
      </c>
      <c r="T11" s="52"/>
    </row>
    <row r="12" spans="1:20" ht="14.25" customHeight="1" thickBot="1" x14ac:dyDescent="0.25">
      <c r="A12" s="376"/>
      <c r="B12" s="376"/>
      <c r="C12" s="324"/>
      <c r="D12" s="365"/>
      <c r="E12" s="338"/>
      <c r="F12" s="343"/>
      <c r="G12" s="350"/>
      <c r="H12" s="102" t="s">
        <v>34</v>
      </c>
      <c r="I12" s="102" t="s">
        <v>222</v>
      </c>
      <c r="J12" s="102">
        <v>1</v>
      </c>
      <c r="K12" s="102">
        <v>2</v>
      </c>
      <c r="L12" s="103" t="s">
        <v>18</v>
      </c>
      <c r="M12" s="98" t="s">
        <v>277</v>
      </c>
      <c r="N12" s="87" t="s">
        <v>60</v>
      </c>
      <c r="O12" s="94">
        <v>1</v>
      </c>
      <c r="P12" s="94">
        <f t="shared" si="0"/>
        <v>1</v>
      </c>
      <c r="Q12" s="94">
        <f t="shared" si="1"/>
        <v>2</v>
      </c>
      <c r="R12" s="94">
        <f>Q12</f>
        <v>2</v>
      </c>
      <c r="S12" s="94" t="s">
        <v>215</v>
      </c>
      <c r="T12" s="59"/>
    </row>
    <row r="13" spans="1:20" ht="14.25" customHeight="1" x14ac:dyDescent="0.2">
      <c r="A13" s="376"/>
      <c r="B13" s="376"/>
      <c r="C13" s="324"/>
      <c r="D13" s="365"/>
      <c r="E13" s="338"/>
      <c r="F13" s="343"/>
      <c r="G13" s="350"/>
      <c r="H13" s="333" t="s">
        <v>206</v>
      </c>
      <c r="I13" s="367" t="s">
        <v>278</v>
      </c>
      <c r="J13" s="333">
        <v>1</v>
      </c>
      <c r="K13" s="333">
        <v>2</v>
      </c>
      <c r="L13" s="104" t="s">
        <v>18</v>
      </c>
      <c r="M13" s="99" t="s">
        <v>279</v>
      </c>
      <c r="N13" s="88" t="s">
        <v>61</v>
      </c>
      <c r="O13" s="95">
        <v>2</v>
      </c>
      <c r="P13" s="95">
        <f t="shared" si="0"/>
        <v>2</v>
      </c>
      <c r="Q13" s="95">
        <f t="shared" si="1"/>
        <v>4</v>
      </c>
      <c r="R13" s="95">
        <f t="shared" ref="R13:R18" si="2">Q13</f>
        <v>4</v>
      </c>
      <c r="S13" s="95" t="s">
        <v>215</v>
      </c>
      <c r="T13" s="16"/>
    </row>
    <row r="14" spans="1:20" ht="14.25" customHeight="1" x14ac:dyDescent="0.2">
      <c r="A14" s="376"/>
      <c r="B14" s="376"/>
      <c r="C14" s="324"/>
      <c r="D14" s="365"/>
      <c r="E14" s="338"/>
      <c r="F14" s="343"/>
      <c r="G14" s="350"/>
      <c r="H14" s="343"/>
      <c r="I14" s="338"/>
      <c r="J14" s="343"/>
      <c r="K14" s="343"/>
      <c r="L14" s="91" t="s">
        <v>19</v>
      </c>
      <c r="M14" s="96" t="s">
        <v>280</v>
      </c>
      <c r="N14" s="84" t="s">
        <v>62</v>
      </c>
      <c r="O14" s="90">
        <v>2</v>
      </c>
      <c r="P14" s="90">
        <f t="shared" si="0"/>
        <v>2</v>
      </c>
      <c r="Q14" s="90">
        <f t="shared" si="1"/>
        <v>4</v>
      </c>
      <c r="R14" s="90">
        <f t="shared" si="2"/>
        <v>4</v>
      </c>
      <c r="S14" s="90" t="s">
        <v>215</v>
      </c>
      <c r="T14" s="5"/>
    </row>
    <row r="15" spans="1:20" x14ac:dyDescent="0.2">
      <c r="A15" s="376"/>
      <c r="B15" s="376"/>
      <c r="C15" s="324"/>
      <c r="D15" s="365"/>
      <c r="E15" s="338"/>
      <c r="F15" s="343"/>
      <c r="G15" s="350"/>
      <c r="H15" s="343"/>
      <c r="I15" s="338"/>
      <c r="J15" s="343"/>
      <c r="K15" s="343"/>
      <c r="L15" s="91" t="s">
        <v>20</v>
      </c>
      <c r="M15" s="100" t="s">
        <v>281</v>
      </c>
      <c r="N15" s="84" t="s">
        <v>64</v>
      </c>
      <c r="O15" s="90">
        <v>2</v>
      </c>
      <c r="P15" s="90">
        <f t="shared" si="0"/>
        <v>2</v>
      </c>
      <c r="Q15" s="90">
        <f t="shared" si="1"/>
        <v>4</v>
      </c>
      <c r="R15" s="90">
        <f t="shared" si="2"/>
        <v>4</v>
      </c>
      <c r="S15" s="90" t="s">
        <v>215</v>
      </c>
      <c r="T15" s="5"/>
    </row>
    <row r="16" spans="1:20" ht="14.25" customHeight="1" x14ac:dyDescent="0.2">
      <c r="A16" s="376"/>
      <c r="B16" s="376"/>
      <c r="C16" s="324"/>
      <c r="D16" s="365"/>
      <c r="E16" s="338"/>
      <c r="F16" s="343"/>
      <c r="G16" s="350"/>
      <c r="H16" s="343"/>
      <c r="I16" s="338"/>
      <c r="J16" s="343"/>
      <c r="K16" s="343"/>
      <c r="L16" s="91" t="s">
        <v>21</v>
      </c>
      <c r="M16" s="100" t="s">
        <v>282</v>
      </c>
      <c r="N16" s="84" t="s">
        <v>64</v>
      </c>
      <c r="O16" s="90">
        <v>2</v>
      </c>
      <c r="P16" s="90">
        <f t="shared" si="0"/>
        <v>2</v>
      </c>
      <c r="Q16" s="90">
        <f t="shared" si="1"/>
        <v>4</v>
      </c>
      <c r="R16" s="90">
        <f t="shared" si="2"/>
        <v>4</v>
      </c>
      <c r="S16" s="90" t="s">
        <v>215</v>
      </c>
      <c r="T16" s="5"/>
    </row>
    <row r="17" spans="1:20" ht="14.25" customHeight="1" x14ac:dyDescent="0.2">
      <c r="A17" s="376"/>
      <c r="B17" s="376"/>
      <c r="C17" s="324"/>
      <c r="D17" s="365"/>
      <c r="E17" s="338"/>
      <c r="F17" s="343"/>
      <c r="G17" s="350"/>
      <c r="H17" s="343"/>
      <c r="I17" s="338"/>
      <c r="J17" s="343"/>
      <c r="K17" s="343"/>
      <c r="L17" s="91" t="s">
        <v>22</v>
      </c>
      <c r="M17" s="96" t="s">
        <v>284</v>
      </c>
      <c r="N17" s="84" t="s">
        <v>45</v>
      </c>
      <c r="O17" s="90">
        <v>4</v>
      </c>
      <c r="P17" s="90">
        <f t="shared" si="0"/>
        <v>4</v>
      </c>
      <c r="Q17" s="90">
        <f t="shared" si="1"/>
        <v>8</v>
      </c>
      <c r="R17" s="90">
        <f t="shared" si="2"/>
        <v>8</v>
      </c>
      <c r="S17" s="90" t="s">
        <v>215</v>
      </c>
      <c r="T17" s="5"/>
    </row>
    <row r="18" spans="1:20" ht="14.25" customHeight="1" x14ac:dyDescent="0.2">
      <c r="A18" s="377"/>
      <c r="B18" s="377"/>
      <c r="C18" s="325"/>
      <c r="D18" s="365"/>
      <c r="E18" s="338"/>
      <c r="F18" s="343"/>
      <c r="G18" s="350"/>
      <c r="H18" s="343"/>
      <c r="I18" s="338"/>
      <c r="J18" s="343"/>
      <c r="K18" s="343"/>
      <c r="L18" s="91" t="s">
        <v>23</v>
      </c>
      <c r="M18" s="96" t="s">
        <v>283</v>
      </c>
      <c r="N18" s="89" t="s">
        <v>46</v>
      </c>
      <c r="O18" s="90">
        <v>4</v>
      </c>
      <c r="P18" s="90">
        <f t="shared" si="0"/>
        <v>4</v>
      </c>
      <c r="Q18" s="90">
        <f t="shared" si="1"/>
        <v>8</v>
      </c>
      <c r="R18" s="90">
        <f t="shared" si="2"/>
        <v>8</v>
      </c>
      <c r="S18" s="90" t="s">
        <v>215</v>
      </c>
      <c r="T18" s="5"/>
    </row>
    <row r="19" spans="1:20" x14ac:dyDescent="0.2">
      <c r="J19" s="4"/>
      <c r="K19" s="4"/>
    </row>
    <row r="21" spans="1:20" x14ac:dyDescent="0.2">
      <c r="Q21" s="72"/>
    </row>
    <row r="25" spans="1:20" ht="15.75" x14ac:dyDescent="0.2">
      <c r="M25" s="73"/>
    </row>
    <row r="26" spans="1:20" hidden="1" x14ac:dyDescent="0.2">
      <c r="B26" s="76">
        <v>15</v>
      </c>
      <c r="D26" t="s">
        <v>328</v>
      </c>
    </row>
    <row r="27" spans="1:20" hidden="1" x14ac:dyDescent="0.2">
      <c r="B27" s="76">
        <v>20</v>
      </c>
      <c r="D27" t="s">
        <v>329</v>
      </c>
    </row>
    <row r="28" spans="1:20" hidden="1" x14ac:dyDescent="0.2">
      <c r="B28" s="76">
        <v>25</v>
      </c>
    </row>
    <row r="29" spans="1:20" hidden="1" x14ac:dyDescent="0.2">
      <c r="B29" s="76">
        <v>30</v>
      </c>
    </row>
    <row r="40" spans="1:20" ht="2.25" customHeight="1" x14ac:dyDescent="0.2"/>
    <row r="41" spans="1:20" ht="5.25" customHeight="1" x14ac:dyDescent="0.2"/>
    <row r="42" spans="1:20" ht="19.5" x14ac:dyDescent="0.2">
      <c r="A42" s="256" t="s">
        <v>0</v>
      </c>
      <c r="B42" s="257"/>
      <c r="C42" s="257"/>
      <c r="D42" s="9"/>
      <c r="E42" s="10"/>
      <c r="F42" s="10" t="s">
        <v>14</v>
      </c>
      <c r="G42" s="11"/>
      <c r="H42" s="10"/>
      <c r="I42" s="10" t="s">
        <v>13</v>
      </c>
      <c r="J42" s="10"/>
      <c r="K42" s="11"/>
      <c r="L42" s="9"/>
      <c r="M42" s="10"/>
      <c r="N42" s="6" t="s">
        <v>1</v>
      </c>
      <c r="O42" s="10"/>
      <c r="P42" s="10"/>
      <c r="Q42" s="10"/>
      <c r="R42" s="71"/>
      <c r="S42" s="71"/>
      <c r="T42" s="15" t="s">
        <v>15</v>
      </c>
    </row>
    <row r="43" spans="1:20" ht="45" x14ac:dyDescent="0.2">
      <c r="A43" s="17" t="s">
        <v>2</v>
      </c>
      <c r="B43" s="17" t="s">
        <v>211</v>
      </c>
      <c r="C43" s="3" t="s">
        <v>3</v>
      </c>
      <c r="D43" s="12" t="s">
        <v>4</v>
      </c>
      <c r="E43" s="13" t="s">
        <v>5</v>
      </c>
      <c r="F43" s="12" t="s">
        <v>6</v>
      </c>
      <c r="G43" s="12" t="s">
        <v>3</v>
      </c>
      <c r="H43" s="3" t="s">
        <v>10</v>
      </c>
      <c r="I43" s="3" t="s">
        <v>5</v>
      </c>
      <c r="J43" s="3" t="s">
        <v>12</v>
      </c>
      <c r="K43" s="3" t="s">
        <v>11</v>
      </c>
      <c r="L43" s="1" t="s">
        <v>7</v>
      </c>
      <c r="M43" s="2" t="s">
        <v>5</v>
      </c>
      <c r="N43" s="2" t="s">
        <v>9</v>
      </c>
      <c r="O43" s="3" t="s">
        <v>8</v>
      </c>
      <c r="P43" s="3" t="s">
        <v>6</v>
      </c>
      <c r="Q43" s="14" t="s">
        <v>3</v>
      </c>
      <c r="R43" s="14" t="s">
        <v>212</v>
      </c>
      <c r="S43" s="14" t="s">
        <v>213</v>
      </c>
      <c r="T43" s="3" t="s">
        <v>16</v>
      </c>
    </row>
    <row r="44" spans="1:20" x14ac:dyDescent="0.2">
      <c r="A44" s="351" t="s">
        <v>208</v>
      </c>
      <c r="B44" s="352">
        <v>20</v>
      </c>
      <c r="C44" s="351">
        <v>1</v>
      </c>
      <c r="D44" s="351" t="s">
        <v>206</v>
      </c>
      <c r="E44" s="355" t="s">
        <v>223</v>
      </c>
      <c r="F44" s="357">
        <v>1</v>
      </c>
      <c r="G44" s="350">
        <f>C44*F44</f>
        <v>1</v>
      </c>
      <c r="H44" s="350" t="s">
        <v>205</v>
      </c>
      <c r="I44" s="358" t="s">
        <v>223</v>
      </c>
      <c r="J44" s="350">
        <v>1</v>
      </c>
      <c r="K44" s="350">
        <f>J44*G44</f>
        <v>1</v>
      </c>
      <c r="L44" s="105" t="s">
        <v>18</v>
      </c>
      <c r="M44" s="106" t="s">
        <v>217</v>
      </c>
      <c r="N44" s="110" t="s">
        <v>67</v>
      </c>
      <c r="O44" s="110">
        <v>1</v>
      </c>
      <c r="P44" s="85">
        <f>O44*$F$44</f>
        <v>1</v>
      </c>
      <c r="Q44" s="85">
        <f>P44*$C$44</f>
        <v>1</v>
      </c>
      <c r="R44" s="85">
        <f>5.65*Q44</f>
        <v>5.65</v>
      </c>
      <c r="S44" s="85" t="s">
        <v>214</v>
      </c>
      <c r="T44" s="78"/>
    </row>
    <row r="45" spans="1:20" x14ac:dyDescent="0.2">
      <c r="A45" s="351"/>
      <c r="B45" s="353"/>
      <c r="C45" s="351"/>
      <c r="D45" s="351"/>
      <c r="E45" s="355"/>
      <c r="F45" s="357"/>
      <c r="G45" s="350"/>
      <c r="H45" s="350"/>
      <c r="I45" s="358"/>
      <c r="J45" s="350"/>
      <c r="K45" s="350"/>
      <c r="L45" s="105" t="s">
        <v>19</v>
      </c>
      <c r="M45" s="106" t="s">
        <v>219</v>
      </c>
      <c r="N45" s="110" t="s">
        <v>68</v>
      </c>
      <c r="O45" s="110">
        <v>3</v>
      </c>
      <c r="P45" s="85">
        <f t="shared" ref="P45:P59" si="3">O45*$F$44</f>
        <v>3</v>
      </c>
      <c r="Q45" s="85">
        <f t="shared" ref="Q45:Q59" si="4">P45*$C$44</f>
        <v>3</v>
      </c>
      <c r="R45" s="85">
        <f>Q45*1.5</f>
        <v>4.5</v>
      </c>
      <c r="S45" s="85" t="s">
        <v>214</v>
      </c>
      <c r="T45" s="78"/>
    </row>
    <row r="46" spans="1:20" x14ac:dyDescent="0.2">
      <c r="A46" s="351"/>
      <c r="B46" s="353"/>
      <c r="C46" s="351"/>
      <c r="D46" s="351"/>
      <c r="E46" s="355"/>
      <c r="F46" s="357"/>
      <c r="G46" s="350"/>
      <c r="H46" s="350"/>
      <c r="I46" s="358"/>
      <c r="J46" s="350"/>
      <c r="K46" s="350"/>
      <c r="L46" s="105" t="s">
        <v>20</v>
      </c>
      <c r="M46" s="106" t="s">
        <v>225</v>
      </c>
      <c r="N46" s="110" t="s">
        <v>70</v>
      </c>
      <c r="O46" s="110">
        <v>1</v>
      </c>
      <c r="P46" s="85">
        <f t="shared" si="3"/>
        <v>1</v>
      </c>
      <c r="Q46" s="85">
        <f t="shared" si="4"/>
        <v>1</v>
      </c>
      <c r="R46" s="85">
        <f>2.3*Q46</f>
        <v>2.2999999999999998</v>
      </c>
      <c r="S46" s="85" t="s">
        <v>214</v>
      </c>
      <c r="T46" s="78"/>
    </row>
    <row r="47" spans="1:20" x14ac:dyDescent="0.2">
      <c r="A47" s="351"/>
      <c r="B47" s="353"/>
      <c r="C47" s="351"/>
      <c r="D47" s="351"/>
      <c r="E47" s="355"/>
      <c r="F47" s="357"/>
      <c r="G47" s="350"/>
      <c r="H47" s="350"/>
      <c r="I47" s="358"/>
      <c r="J47" s="350"/>
      <c r="K47" s="350"/>
      <c r="L47" s="105" t="s">
        <v>21</v>
      </c>
      <c r="M47" s="106" t="s">
        <v>220</v>
      </c>
      <c r="N47" s="92" t="str">
        <f>IF(B44=30,"70x70,L=1677",IF(B44=20,"70x70,L=1213",IF(B44=25,"70x70,L=1445",IF(B44=15,"70x70,L=981"))))</f>
        <v>70x70,L=1213</v>
      </c>
      <c r="O47" s="110">
        <v>2</v>
      </c>
      <c r="P47" s="85">
        <f t="shared" si="3"/>
        <v>2</v>
      </c>
      <c r="Q47" s="85">
        <f t="shared" si="4"/>
        <v>2</v>
      </c>
      <c r="R47" s="92">
        <f>(IF(B44=30,"11",IF(B44=20,"8",IF(B44=25,"9.53",IF(B44=15,"6.46")))))*Q47</f>
        <v>16</v>
      </c>
      <c r="S47" s="85" t="s">
        <v>214</v>
      </c>
      <c r="T47" s="78"/>
    </row>
    <row r="48" spans="1:20" x14ac:dyDescent="0.2">
      <c r="A48" s="351"/>
      <c r="B48" s="353"/>
      <c r="C48" s="351"/>
      <c r="D48" s="351"/>
      <c r="E48" s="355"/>
      <c r="F48" s="357"/>
      <c r="G48" s="350"/>
      <c r="H48" s="350"/>
      <c r="I48" s="358"/>
      <c r="J48" s="350"/>
      <c r="K48" s="350"/>
      <c r="L48" s="105" t="s">
        <v>22</v>
      </c>
      <c r="M48" s="106" t="s">
        <v>224</v>
      </c>
      <c r="N48" s="92" t="str">
        <f>IF(B44=30,"70x70,L=1718",IF(B44=20,"70x70,L=1177",IF(B44=25,"70x70,L=1447",IF(B44=15,"70x70,L=906"))))</f>
        <v>70x70,L=1177</v>
      </c>
      <c r="O48" s="110">
        <v>1</v>
      </c>
      <c r="P48" s="85">
        <f t="shared" si="3"/>
        <v>1</v>
      </c>
      <c r="Q48" s="85">
        <f t="shared" si="4"/>
        <v>1</v>
      </c>
      <c r="R48" s="92">
        <f>(IF(B44=30,"12.1",IF(B44=20,"8.75",IF(B44=25,"10.42",IF(B44=15,"7")))))*Q48</f>
        <v>8.75</v>
      </c>
      <c r="S48" s="85" t="s">
        <v>214</v>
      </c>
      <c r="T48" s="78"/>
    </row>
    <row r="49" spans="1:20" x14ac:dyDescent="0.2">
      <c r="A49" s="351"/>
      <c r="B49" s="353"/>
      <c r="C49" s="351"/>
      <c r="D49" s="351"/>
      <c r="E49" s="355"/>
      <c r="F49" s="357"/>
      <c r="G49" s="350"/>
      <c r="H49" s="350"/>
      <c r="I49" s="358"/>
      <c r="J49" s="350"/>
      <c r="K49" s="350"/>
      <c r="L49" s="105" t="s">
        <v>23</v>
      </c>
      <c r="M49" s="106" t="s">
        <v>228</v>
      </c>
      <c r="N49" s="92" t="str">
        <f>IF(B44=30,"3x270x700",IF(B44=20,"3x270x500",IF(B44=25,"3x270x600",IF(B44=15,"3x270x400"))))</f>
        <v>3x270x500</v>
      </c>
      <c r="O49" s="110">
        <v>1</v>
      </c>
      <c r="P49" s="85">
        <f t="shared" si="3"/>
        <v>1</v>
      </c>
      <c r="Q49" s="85">
        <f t="shared" si="4"/>
        <v>1</v>
      </c>
      <c r="R49" s="92">
        <f>(IF(B44=30,"4.45",IF(B44=20,"3.18",IF(B44=25,"3.81",IF(B44=15,"2.54")))))*Q49</f>
        <v>3.18</v>
      </c>
      <c r="S49" s="85" t="s">
        <v>214</v>
      </c>
      <c r="T49" s="78"/>
    </row>
    <row r="50" spans="1:20" x14ac:dyDescent="0.2">
      <c r="A50" s="351"/>
      <c r="B50" s="353"/>
      <c r="C50" s="351"/>
      <c r="D50" s="351"/>
      <c r="E50" s="355"/>
      <c r="F50" s="357"/>
      <c r="G50" s="350"/>
      <c r="H50" s="350"/>
      <c r="I50" s="358"/>
      <c r="J50" s="350"/>
      <c r="K50" s="350"/>
      <c r="L50" s="105" t="s">
        <v>24</v>
      </c>
      <c r="M50" s="107" t="s">
        <v>288</v>
      </c>
      <c r="N50" s="110" t="s">
        <v>75</v>
      </c>
      <c r="O50" s="110">
        <v>1</v>
      </c>
      <c r="P50" s="85">
        <f t="shared" si="3"/>
        <v>1</v>
      </c>
      <c r="Q50" s="85">
        <f t="shared" si="4"/>
        <v>1</v>
      </c>
      <c r="R50" s="85">
        <f>1.06*Q50</f>
        <v>1.06</v>
      </c>
      <c r="S50" s="85" t="s">
        <v>214</v>
      </c>
      <c r="T50" s="78"/>
    </row>
    <row r="51" spans="1:20" x14ac:dyDescent="0.2">
      <c r="A51" s="351"/>
      <c r="B51" s="353"/>
      <c r="C51" s="351"/>
      <c r="D51" s="351"/>
      <c r="E51" s="355"/>
      <c r="F51" s="357"/>
      <c r="G51" s="350"/>
      <c r="H51" s="350"/>
      <c r="I51" s="358"/>
      <c r="J51" s="350"/>
      <c r="K51" s="350"/>
      <c r="L51" s="105" t="s">
        <v>25</v>
      </c>
      <c r="M51" s="106" t="s">
        <v>235</v>
      </c>
      <c r="N51" s="110" t="s">
        <v>77</v>
      </c>
      <c r="O51" s="110">
        <v>1</v>
      </c>
      <c r="P51" s="85">
        <f t="shared" si="3"/>
        <v>1</v>
      </c>
      <c r="Q51" s="85">
        <f t="shared" si="4"/>
        <v>1</v>
      </c>
      <c r="R51" s="85">
        <f>0.33*Q51</f>
        <v>0.33</v>
      </c>
      <c r="S51" s="85" t="s">
        <v>214</v>
      </c>
      <c r="T51" s="78"/>
    </row>
    <row r="52" spans="1:20" x14ac:dyDescent="0.2">
      <c r="A52" s="351"/>
      <c r="B52" s="353"/>
      <c r="C52" s="351"/>
      <c r="D52" s="351"/>
      <c r="E52" s="355"/>
      <c r="F52" s="357"/>
      <c r="G52" s="350"/>
      <c r="H52" s="350"/>
      <c r="I52" s="358"/>
      <c r="J52" s="350"/>
      <c r="K52" s="350"/>
      <c r="L52" s="105" t="s">
        <v>26</v>
      </c>
      <c r="M52" s="106" t="s">
        <v>236</v>
      </c>
      <c r="N52" s="110" t="s">
        <v>79</v>
      </c>
      <c r="O52" s="110">
        <v>1</v>
      </c>
      <c r="P52" s="85">
        <f t="shared" si="3"/>
        <v>1</v>
      </c>
      <c r="Q52" s="85">
        <f t="shared" si="4"/>
        <v>1</v>
      </c>
      <c r="R52" s="85">
        <f>0.15*Q52</f>
        <v>0.15</v>
      </c>
      <c r="S52" s="85" t="s">
        <v>214</v>
      </c>
      <c r="T52" s="78"/>
    </row>
    <row r="53" spans="1:20" x14ac:dyDescent="0.2">
      <c r="A53" s="351"/>
      <c r="B53" s="353"/>
      <c r="C53" s="351"/>
      <c r="D53" s="351"/>
      <c r="E53" s="355"/>
      <c r="F53" s="357"/>
      <c r="G53" s="350"/>
      <c r="H53" s="350"/>
      <c r="I53" s="358"/>
      <c r="J53" s="350"/>
      <c r="K53" s="350"/>
      <c r="L53" s="105" t="s">
        <v>27</v>
      </c>
      <c r="M53" s="106" t="s">
        <v>226</v>
      </c>
      <c r="N53" s="92" t="str">
        <f>IF(B44=30,"40x40,L=700",IF(B44=20,"40x40,L=500",IF(B44=25,"40x40,L=600",IF(B44=15,"40x40,L=400"))))</f>
        <v>40x40,L=500</v>
      </c>
      <c r="O53" s="110">
        <v>1</v>
      </c>
      <c r="P53" s="85">
        <f t="shared" si="3"/>
        <v>1</v>
      </c>
      <c r="Q53" s="85">
        <f t="shared" si="4"/>
        <v>1</v>
      </c>
      <c r="R53" s="92">
        <f>(IF(B44=30,"1.75",IF(B44=20,"1.25",IF(B44=25,"1.5",IF(B44=15,"1")))))*Q53</f>
        <v>1.25</v>
      </c>
      <c r="S53" s="85" t="s">
        <v>214</v>
      </c>
      <c r="T53" s="78"/>
    </row>
    <row r="54" spans="1:20" x14ac:dyDescent="0.2">
      <c r="A54" s="351"/>
      <c r="B54" s="353"/>
      <c r="C54" s="351"/>
      <c r="D54" s="351"/>
      <c r="E54" s="355"/>
      <c r="F54" s="357"/>
      <c r="G54" s="350"/>
      <c r="H54" s="350"/>
      <c r="I54" s="358"/>
      <c r="J54" s="350"/>
      <c r="K54" s="350"/>
      <c r="L54" s="105" t="s">
        <v>28</v>
      </c>
      <c r="M54" s="106" t="s">
        <v>227</v>
      </c>
      <c r="N54" s="92" t="str">
        <f>IF(B44=30,"40x40,L=800",IF(B44=20,"40x40,L=600",IF(B44=25,"40x40,L=700",IF(B44=15,"40x40,L=500"))))</f>
        <v>40x40,L=600</v>
      </c>
      <c r="O54" s="110">
        <v>1</v>
      </c>
      <c r="P54" s="85">
        <f t="shared" si="3"/>
        <v>1</v>
      </c>
      <c r="Q54" s="85">
        <f t="shared" si="4"/>
        <v>1</v>
      </c>
      <c r="R54" s="92">
        <f>(IF(B44=30,"2",IF(B44=20,"1.5",IF(B44=25,"1.75",IF(B44=15,"1.25")))))*Q54</f>
        <v>1.5</v>
      </c>
      <c r="S54" s="85" t="s">
        <v>214</v>
      </c>
      <c r="T54" s="78"/>
    </row>
    <row r="55" spans="1:20" x14ac:dyDescent="0.2">
      <c r="A55" s="351"/>
      <c r="B55" s="353"/>
      <c r="C55" s="351"/>
      <c r="D55" s="351"/>
      <c r="E55" s="355"/>
      <c r="F55" s="357"/>
      <c r="G55" s="350"/>
      <c r="H55" s="350"/>
      <c r="I55" s="358"/>
      <c r="J55" s="350"/>
      <c r="K55" s="350"/>
      <c r="L55" s="105" t="s">
        <v>29</v>
      </c>
      <c r="M55" s="106" t="s">
        <v>243</v>
      </c>
      <c r="N55" s="110" t="s">
        <v>285</v>
      </c>
      <c r="O55" s="110">
        <v>1</v>
      </c>
      <c r="P55" s="85">
        <f t="shared" si="3"/>
        <v>1</v>
      </c>
      <c r="Q55" s="85">
        <f t="shared" si="4"/>
        <v>1</v>
      </c>
      <c r="R55" s="85">
        <f>Q55*1.68</f>
        <v>1.68</v>
      </c>
      <c r="S55" s="85" t="s">
        <v>214</v>
      </c>
      <c r="T55" s="78"/>
    </row>
    <row r="56" spans="1:20" x14ac:dyDescent="0.2">
      <c r="A56" s="351"/>
      <c r="B56" s="353"/>
      <c r="C56" s="351"/>
      <c r="D56" s="351"/>
      <c r="E56" s="355"/>
      <c r="F56" s="357"/>
      <c r="G56" s="350"/>
      <c r="H56" s="350"/>
      <c r="I56" s="358"/>
      <c r="J56" s="350"/>
      <c r="K56" s="350"/>
      <c r="L56" s="105" t="s">
        <v>30</v>
      </c>
      <c r="M56" s="106" t="s">
        <v>244</v>
      </c>
      <c r="N56" s="110" t="s">
        <v>289</v>
      </c>
      <c r="O56" s="110">
        <v>3</v>
      </c>
      <c r="P56" s="85">
        <f t="shared" si="3"/>
        <v>3</v>
      </c>
      <c r="Q56" s="85">
        <f t="shared" si="4"/>
        <v>3</v>
      </c>
      <c r="R56" s="85">
        <f>0.126*Q56</f>
        <v>0.378</v>
      </c>
      <c r="S56" s="85" t="s">
        <v>214</v>
      </c>
      <c r="T56" s="78"/>
    </row>
    <row r="57" spans="1:20" x14ac:dyDescent="0.2">
      <c r="A57" s="351"/>
      <c r="B57" s="353"/>
      <c r="C57" s="351"/>
      <c r="D57" s="351"/>
      <c r="E57" s="355"/>
      <c r="F57" s="357"/>
      <c r="G57" s="350"/>
      <c r="H57" s="350"/>
      <c r="I57" s="358"/>
      <c r="J57" s="350"/>
      <c r="K57" s="350"/>
      <c r="L57" s="105">
        <v>14</v>
      </c>
      <c r="M57" s="106" t="s">
        <v>291</v>
      </c>
      <c r="N57" s="110" t="s">
        <v>84</v>
      </c>
      <c r="O57" s="110">
        <v>2</v>
      </c>
      <c r="P57" s="85">
        <f t="shared" si="3"/>
        <v>2</v>
      </c>
      <c r="Q57" s="85">
        <f t="shared" si="4"/>
        <v>2</v>
      </c>
      <c r="R57" s="85">
        <f>Q57*0.1</f>
        <v>0.2</v>
      </c>
      <c r="S57" s="85" t="s">
        <v>214</v>
      </c>
      <c r="T57" s="78"/>
    </row>
    <row r="58" spans="1:20" x14ac:dyDescent="0.2">
      <c r="A58" s="351"/>
      <c r="B58" s="353"/>
      <c r="C58" s="351"/>
      <c r="D58" s="351"/>
      <c r="E58" s="355"/>
      <c r="F58" s="357"/>
      <c r="G58" s="350"/>
      <c r="H58" s="350"/>
      <c r="I58" s="358"/>
      <c r="J58" s="350"/>
      <c r="K58" s="350"/>
      <c r="L58" s="105">
        <v>15</v>
      </c>
      <c r="M58" s="106" t="s">
        <v>245</v>
      </c>
      <c r="N58" s="110" t="s">
        <v>86</v>
      </c>
      <c r="O58" s="110">
        <v>1</v>
      </c>
      <c r="P58" s="85">
        <f t="shared" si="3"/>
        <v>1</v>
      </c>
      <c r="Q58" s="85">
        <f t="shared" si="4"/>
        <v>1</v>
      </c>
      <c r="R58" s="85">
        <f>Q58*0.254</f>
        <v>0.254</v>
      </c>
      <c r="S58" s="85" t="s">
        <v>214</v>
      </c>
      <c r="T58" s="78"/>
    </row>
    <row r="59" spans="1:20" x14ac:dyDescent="0.2">
      <c r="A59" s="351"/>
      <c r="B59" s="354"/>
      <c r="C59" s="351"/>
      <c r="D59" s="351"/>
      <c r="E59" s="355"/>
      <c r="F59" s="357"/>
      <c r="G59" s="350"/>
      <c r="H59" s="350"/>
      <c r="I59" s="358"/>
      <c r="J59" s="350"/>
      <c r="K59" s="350"/>
      <c r="L59" s="105">
        <v>16</v>
      </c>
      <c r="M59" s="106" t="s">
        <v>251</v>
      </c>
      <c r="N59" s="108" t="s">
        <v>286</v>
      </c>
      <c r="O59" s="110">
        <v>2</v>
      </c>
      <c r="P59" s="85">
        <f t="shared" si="3"/>
        <v>2</v>
      </c>
      <c r="Q59" s="85">
        <f t="shared" si="4"/>
        <v>2</v>
      </c>
      <c r="R59" s="85">
        <f>Q59*0.4</f>
        <v>0.8</v>
      </c>
      <c r="S59" s="85" t="s">
        <v>214</v>
      </c>
      <c r="T59" s="78"/>
    </row>
    <row r="60" spans="1:20" x14ac:dyDescent="0.2">
      <c r="J60" s="4"/>
      <c r="K60" s="4"/>
    </row>
    <row r="71" spans="1:20" ht="5.25" customHeight="1" x14ac:dyDescent="0.2"/>
    <row r="72" spans="1:20" ht="19.5" x14ac:dyDescent="0.2">
      <c r="A72" s="256" t="s">
        <v>0</v>
      </c>
      <c r="B72" s="257"/>
      <c r="C72" s="257"/>
      <c r="D72" s="9"/>
      <c r="E72" s="10"/>
      <c r="F72" s="10" t="s">
        <v>14</v>
      </c>
      <c r="G72" s="11"/>
      <c r="H72" s="10"/>
      <c r="I72" s="10" t="s">
        <v>13</v>
      </c>
      <c r="J72" s="10"/>
      <c r="K72" s="11"/>
      <c r="L72" s="9"/>
      <c r="M72" s="10"/>
      <c r="N72" s="6" t="s">
        <v>1</v>
      </c>
      <c r="O72" s="10"/>
      <c r="P72" s="10"/>
      <c r="Q72" s="10"/>
      <c r="R72" s="71"/>
      <c r="S72" s="71"/>
      <c r="T72" s="15" t="s">
        <v>15</v>
      </c>
    </row>
    <row r="73" spans="1:20" ht="45" x14ac:dyDescent="0.2">
      <c r="A73" s="64" t="s">
        <v>2</v>
      </c>
      <c r="B73" s="64" t="s">
        <v>211</v>
      </c>
      <c r="C73" s="43" t="s">
        <v>3</v>
      </c>
      <c r="D73" s="43" t="s">
        <v>4</v>
      </c>
      <c r="E73" s="33" t="s">
        <v>5</v>
      </c>
      <c r="F73" s="43" t="s">
        <v>6</v>
      </c>
      <c r="G73" s="43" t="s">
        <v>3</v>
      </c>
      <c r="H73" s="43" t="s">
        <v>10</v>
      </c>
      <c r="I73" s="43" t="s">
        <v>5</v>
      </c>
      <c r="J73" s="43" t="s">
        <v>12</v>
      </c>
      <c r="K73" s="43" t="s">
        <v>11</v>
      </c>
      <c r="L73" s="62" t="s">
        <v>7</v>
      </c>
      <c r="M73" s="33" t="s">
        <v>5</v>
      </c>
      <c r="N73" s="33" t="s">
        <v>9</v>
      </c>
      <c r="O73" s="43" t="s">
        <v>8</v>
      </c>
      <c r="P73" s="43" t="s">
        <v>6</v>
      </c>
      <c r="Q73" s="63" t="s">
        <v>3</v>
      </c>
      <c r="R73" s="63" t="s">
        <v>212</v>
      </c>
      <c r="S73" s="63" t="s">
        <v>213</v>
      </c>
      <c r="T73" s="43" t="s">
        <v>16</v>
      </c>
    </row>
    <row r="74" spans="1:20" ht="14.25" customHeight="1" x14ac:dyDescent="0.2">
      <c r="A74" s="362" t="s">
        <v>208</v>
      </c>
      <c r="B74" s="362">
        <v>25</v>
      </c>
      <c r="C74" s="339" t="s">
        <v>18</v>
      </c>
      <c r="D74" s="339" t="s">
        <v>206</v>
      </c>
      <c r="E74" s="339" t="s">
        <v>223</v>
      </c>
      <c r="F74" s="339" t="s">
        <v>18</v>
      </c>
      <c r="G74" s="359">
        <f>F74*C74</f>
        <v>1</v>
      </c>
      <c r="H74" s="343" t="s">
        <v>205</v>
      </c>
      <c r="I74" s="338" t="s">
        <v>223</v>
      </c>
      <c r="J74" s="343">
        <v>1</v>
      </c>
      <c r="K74" s="343">
        <v>2</v>
      </c>
      <c r="L74" s="177" t="s">
        <v>32</v>
      </c>
      <c r="M74" s="92" t="s">
        <v>237</v>
      </c>
      <c r="N74" s="198" t="s">
        <v>110</v>
      </c>
      <c r="O74" s="121">
        <v>2</v>
      </c>
      <c r="P74" s="121">
        <f>O74*$F$74</f>
        <v>2</v>
      </c>
      <c r="Q74" s="121">
        <f>P74*C$74</f>
        <v>2</v>
      </c>
      <c r="R74" s="121">
        <f>Q74</f>
        <v>2</v>
      </c>
      <c r="S74" s="211" t="s">
        <v>215</v>
      </c>
      <c r="T74" s="121"/>
    </row>
    <row r="75" spans="1:20" ht="14.25" customHeight="1" x14ac:dyDescent="0.2">
      <c r="A75" s="363"/>
      <c r="B75" s="363"/>
      <c r="C75" s="356"/>
      <c r="D75" s="356"/>
      <c r="E75" s="356"/>
      <c r="F75" s="356"/>
      <c r="G75" s="360"/>
      <c r="H75" s="343"/>
      <c r="I75" s="338"/>
      <c r="J75" s="343"/>
      <c r="K75" s="343"/>
      <c r="L75" s="177" t="s">
        <v>35</v>
      </c>
      <c r="M75" s="92" t="s">
        <v>238</v>
      </c>
      <c r="N75" s="198" t="s">
        <v>112</v>
      </c>
      <c r="O75" s="121">
        <v>2</v>
      </c>
      <c r="P75" s="121">
        <f t="shared" ref="P75:P86" si="5">O75*$F$74</f>
        <v>2</v>
      </c>
      <c r="Q75" s="121">
        <f t="shared" ref="Q75:Q86" si="6">P75*C$74</f>
        <v>2</v>
      </c>
      <c r="R75" s="121">
        <f t="shared" ref="R75:R86" si="7">Q75</f>
        <v>2</v>
      </c>
      <c r="S75" s="211" t="s">
        <v>215</v>
      </c>
      <c r="T75" s="121"/>
    </row>
    <row r="76" spans="1:20" ht="14.25" customHeight="1" x14ac:dyDescent="0.2">
      <c r="A76" s="363"/>
      <c r="B76" s="363"/>
      <c r="C76" s="356"/>
      <c r="D76" s="356"/>
      <c r="E76" s="356"/>
      <c r="F76" s="356"/>
      <c r="G76" s="360"/>
      <c r="H76" s="343"/>
      <c r="I76" s="338"/>
      <c r="J76" s="343"/>
      <c r="K76" s="343"/>
      <c r="L76" s="177" t="s">
        <v>36</v>
      </c>
      <c r="M76" s="92" t="s">
        <v>292</v>
      </c>
      <c r="N76" s="198" t="s">
        <v>114</v>
      </c>
      <c r="O76" s="121">
        <v>4</v>
      </c>
      <c r="P76" s="121">
        <f t="shared" si="5"/>
        <v>4</v>
      </c>
      <c r="Q76" s="121">
        <f t="shared" si="6"/>
        <v>4</v>
      </c>
      <c r="R76" s="121">
        <f t="shared" si="7"/>
        <v>4</v>
      </c>
      <c r="S76" s="211" t="s">
        <v>215</v>
      </c>
      <c r="T76" s="121"/>
    </row>
    <row r="77" spans="1:20" ht="14.25" customHeight="1" x14ac:dyDescent="0.2">
      <c r="A77" s="363"/>
      <c r="B77" s="363"/>
      <c r="C77" s="356"/>
      <c r="D77" s="356"/>
      <c r="E77" s="356"/>
      <c r="F77" s="356"/>
      <c r="G77" s="360"/>
      <c r="H77" s="331"/>
      <c r="I77" s="382"/>
      <c r="J77" s="331"/>
      <c r="K77" s="331"/>
      <c r="L77" s="177" t="s">
        <v>39</v>
      </c>
      <c r="M77" s="92" t="s">
        <v>293</v>
      </c>
      <c r="N77" s="198" t="s">
        <v>114</v>
      </c>
      <c r="O77" s="121">
        <v>2</v>
      </c>
      <c r="P77" s="121">
        <f t="shared" si="5"/>
        <v>2</v>
      </c>
      <c r="Q77" s="121">
        <f t="shared" si="6"/>
        <v>2</v>
      </c>
      <c r="R77" s="121">
        <f t="shared" si="7"/>
        <v>2</v>
      </c>
      <c r="S77" s="211" t="s">
        <v>215</v>
      </c>
      <c r="T77" s="122"/>
    </row>
    <row r="78" spans="1:20" ht="14.25" customHeight="1" x14ac:dyDescent="0.2">
      <c r="A78" s="363"/>
      <c r="B78" s="363"/>
      <c r="C78" s="356"/>
      <c r="D78" s="356"/>
      <c r="E78" s="356"/>
      <c r="F78" s="356"/>
      <c r="G78" s="360"/>
      <c r="H78" s="331"/>
      <c r="I78" s="382"/>
      <c r="J78" s="331"/>
      <c r="K78" s="331"/>
      <c r="L78" s="199" t="s">
        <v>40</v>
      </c>
      <c r="M78" s="244" t="s">
        <v>252</v>
      </c>
      <c r="N78" s="206" t="s">
        <v>48</v>
      </c>
      <c r="O78" s="212">
        <v>1</v>
      </c>
      <c r="P78" s="212">
        <f t="shared" si="5"/>
        <v>1</v>
      </c>
      <c r="Q78" s="212">
        <f t="shared" si="6"/>
        <v>1</v>
      </c>
      <c r="R78" s="212">
        <f t="shared" si="7"/>
        <v>1</v>
      </c>
      <c r="S78" s="212" t="s">
        <v>215</v>
      </c>
      <c r="T78" s="122"/>
    </row>
    <row r="79" spans="1:20" ht="14.25" customHeight="1" thickBot="1" x14ac:dyDescent="0.25">
      <c r="A79" s="363"/>
      <c r="B79" s="363"/>
      <c r="C79" s="356"/>
      <c r="D79" s="356"/>
      <c r="E79" s="356"/>
      <c r="F79" s="356"/>
      <c r="G79" s="360"/>
      <c r="H79" s="381"/>
      <c r="I79" s="383"/>
      <c r="J79" s="381"/>
      <c r="K79" s="381"/>
      <c r="L79" s="101" t="s">
        <v>47</v>
      </c>
      <c r="M79" s="245" t="s">
        <v>294</v>
      </c>
      <c r="N79" s="207" t="s">
        <v>41</v>
      </c>
      <c r="O79" s="189">
        <v>1</v>
      </c>
      <c r="P79" s="189">
        <f t="shared" si="5"/>
        <v>1</v>
      </c>
      <c r="Q79" s="189">
        <f t="shared" si="6"/>
        <v>1</v>
      </c>
      <c r="R79" s="189">
        <f t="shared" si="7"/>
        <v>1</v>
      </c>
      <c r="S79" s="189" t="s">
        <v>215</v>
      </c>
      <c r="T79" s="130"/>
    </row>
    <row r="80" spans="1:20" ht="14.25" customHeight="1" thickBot="1" x14ac:dyDescent="0.25">
      <c r="A80" s="363"/>
      <c r="B80" s="363"/>
      <c r="C80" s="356"/>
      <c r="D80" s="356"/>
      <c r="E80" s="356"/>
      <c r="F80" s="356"/>
      <c r="G80" s="360"/>
      <c r="H80" s="200" t="s">
        <v>34</v>
      </c>
      <c r="I80" s="200" t="s">
        <v>222</v>
      </c>
      <c r="J80" s="200" t="s">
        <v>34</v>
      </c>
      <c r="K80" s="200" t="s">
        <v>34</v>
      </c>
      <c r="L80" s="208" t="s">
        <v>18</v>
      </c>
      <c r="M80" s="109" t="s">
        <v>222</v>
      </c>
      <c r="N80" s="248" t="s">
        <v>60</v>
      </c>
      <c r="O80" s="213">
        <v>1</v>
      </c>
      <c r="P80" s="213">
        <f t="shared" si="5"/>
        <v>1</v>
      </c>
      <c r="Q80" s="213">
        <f t="shared" si="6"/>
        <v>1</v>
      </c>
      <c r="R80" s="213">
        <f t="shared" si="7"/>
        <v>1</v>
      </c>
      <c r="S80" s="213" t="s">
        <v>215</v>
      </c>
      <c r="T80" s="127"/>
    </row>
    <row r="81" spans="1:20" ht="14.25" customHeight="1" x14ac:dyDescent="0.2">
      <c r="A81" s="363"/>
      <c r="B81" s="363"/>
      <c r="C81" s="356"/>
      <c r="D81" s="356"/>
      <c r="E81" s="356"/>
      <c r="F81" s="356"/>
      <c r="G81" s="360"/>
      <c r="H81" s="323" t="s">
        <v>206</v>
      </c>
      <c r="I81" s="326" t="s">
        <v>278</v>
      </c>
      <c r="J81" s="323">
        <v>1</v>
      </c>
      <c r="K81" s="323">
        <v>2</v>
      </c>
      <c r="L81" s="209" t="s">
        <v>18</v>
      </c>
      <c r="M81" s="214" t="s">
        <v>317</v>
      </c>
      <c r="N81" s="214" t="s">
        <v>45</v>
      </c>
      <c r="O81" s="215">
        <v>6</v>
      </c>
      <c r="P81" s="215">
        <f t="shared" si="5"/>
        <v>6</v>
      </c>
      <c r="Q81" s="215">
        <f t="shared" si="6"/>
        <v>6</v>
      </c>
      <c r="R81" s="215">
        <f t="shared" si="7"/>
        <v>6</v>
      </c>
      <c r="S81" s="215" t="s">
        <v>215</v>
      </c>
      <c r="T81" s="122"/>
    </row>
    <row r="82" spans="1:20" ht="14.25" customHeight="1" x14ac:dyDescent="0.2">
      <c r="A82" s="363"/>
      <c r="B82" s="363"/>
      <c r="C82" s="356"/>
      <c r="D82" s="356"/>
      <c r="E82" s="356"/>
      <c r="F82" s="356"/>
      <c r="G82" s="360"/>
      <c r="H82" s="324"/>
      <c r="I82" s="327"/>
      <c r="J82" s="324"/>
      <c r="K82" s="324"/>
      <c r="L82" s="176" t="s">
        <v>19</v>
      </c>
      <c r="M82" s="198" t="s">
        <v>318</v>
      </c>
      <c r="N82" s="198" t="s">
        <v>46</v>
      </c>
      <c r="O82" s="185">
        <v>6</v>
      </c>
      <c r="P82" s="185">
        <f t="shared" si="5"/>
        <v>6</v>
      </c>
      <c r="Q82" s="185">
        <f t="shared" si="6"/>
        <v>6</v>
      </c>
      <c r="R82" s="185">
        <f t="shared" si="7"/>
        <v>6</v>
      </c>
      <c r="S82" s="185" t="s">
        <v>215</v>
      </c>
      <c r="T82" s="216"/>
    </row>
    <row r="83" spans="1:20" ht="14.25" customHeight="1" x14ac:dyDescent="0.2">
      <c r="A83" s="363"/>
      <c r="B83" s="363"/>
      <c r="C83" s="356"/>
      <c r="D83" s="356"/>
      <c r="E83" s="356"/>
      <c r="F83" s="356"/>
      <c r="G83" s="360"/>
      <c r="H83" s="324"/>
      <c r="I83" s="327"/>
      <c r="J83" s="324"/>
      <c r="K83" s="324"/>
      <c r="L83" s="176" t="s">
        <v>20</v>
      </c>
      <c r="M83" s="210" t="s">
        <v>240</v>
      </c>
      <c r="N83" s="249" t="s">
        <v>61</v>
      </c>
      <c r="O83" s="191">
        <v>2</v>
      </c>
      <c r="P83" s="191">
        <f t="shared" si="5"/>
        <v>2</v>
      </c>
      <c r="Q83" s="191">
        <f t="shared" si="6"/>
        <v>2</v>
      </c>
      <c r="R83" s="191">
        <f t="shared" si="7"/>
        <v>2</v>
      </c>
      <c r="S83" s="191" t="s">
        <v>215</v>
      </c>
      <c r="T83" s="133"/>
    </row>
    <row r="84" spans="1:20" ht="14.25" customHeight="1" x14ac:dyDescent="0.2">
      <c r="A84" s="363"/>
      <c r="B84" s="363"/>
      <c r="C84" s="356"/>
      <c r="D84" s="356"/>
      <c r="E84" s="356"/>
      <c r="F84" s="356"/>
      <c r="G84" s="360"/>
      <c r="H84" s="324"/>
      <c r="I84" s="327"/>
      <c r="J84" s="324"/>
      <c r="K84" s="324"/>
      <c r="L84" s="177" t="s">
        <v>21</v>
      </c>
      <c r="M84" s="92" t="s">
        <v>241</v>
      </c>
      <c r="N84" s="250" t="s">
        <v>62</v>
      </c>
      <c r="O84" s="185">
        <v>2</v>
      </c>
      <c r="P84" s="185">
        <f t="shared" si="5"/>
        <v>2</v>
      </c>
      <c r="Q84" s="185">
        <f t="shared" si="6"/>
        <v>2</v>
      </c>
      <c r="R84" s="185">
        <f t="shared" si="7"/>
        <v>2</v>
      </c>
      <c r="S84" s="185" t="s">
        <v>215</v>
      </c>
      <c r="T84" s="121"/>
    </row>
    <row r="85" spans="1:20" ht="14.25" customHeight="1" x14ac:dyDescent="0.2">
      <c r="A85" s="363"/>
      <c r="B85" s="363"/>
      <c r="C85" s="356"/>
      <c r="D85" s="356"/>
      <c r="E85" s="356"/>
      <c r="F85" s="356"/>
      <c r="G85" s="360"/>
      <c r="H85" s="324"/>
      <c r="I85" s="327"/>
      <c r="J85" s="324"/>
      <c r="K85" s="324"/>
      <c r="L85" s="177" t="s">
        <v>22</v>
      </c>
      <c r="M85" s="92" t="s">
        <v>295</v>
      </c>
      <c r="N85" s="250" t="s">
        <v>64</v>
      </c>
      <c r="O85" s="185">
        <v>2</v>
      </c>
      <c r="P85" s="185">
        <f t="shared" si="5"/>
        <v>2</v>
      </c>
      <c r="Q85" s="185">
        <f t="shared" si="6"/>
        <v>2</v>
      </c>
      <c r="R85" s="185">
        <f t="shared" si="7"/>
        <v>2</v>
      </c>
      <c r="S85" s="185" t="s">
        <v>215</v>
      </c>
      <c r="T85" s="121"/>
    </row>
    <row r="86" spans="1:20" ht="14.25" customHeight="1" x14ac:dyDescent="0.2">
      <c r="A86" s="364"/>
      <c r="B86" s="364"/>
      <c r="C86" s="340"/>
      <c r="D86" s="340"/>
      <c r="E86" s="340"/>
      <c r="F86" s="340"/>
      <c r="G86" s="361"/>
      <c r="H86" s="325"/>
      <c r="I86" s="328"/>
      <c r="J86" s="325"/>
      <c r="K86" s="325"/>
      <c r="L86" s="177" t="s">
        <v>23</v>
      </c>
      <c r="M86" s="92" t="s">
        <v>319</v>
      </c>
      <c r="N86" s="250" t="s">
        <v>64</v>
      </c>
      <c r="O86" s="185">
        <v>2</v>
      </c>
      <c r="P86" s="185">
        <f t="shared" si="5"/>
        <v>2</v>
      </c>
      <c r="Q86" s="185">
        <f t="shared" si="6"/>
        <v>2</v>
      </c>
      <c r="R86" s="185">
        <f t="shared" si="7"/>
        <v>2</v>
      </c>
      <c r="S86" s="185" t="s">
        <v>215</v>
      </c>
      <c r="T86" s="121"/>
    </row>
    <row r="102" spans="1:20" ht="3" customHeight="1" x14ac:dyDescent="0.2"/>
    <row r="103" spans="1:20" ht="19.5" x14ac:dyDescent="0.2">
      <c r="A103" s="256" t="s">
        <v>0</v>
      </c>
      <c r="B103" s="257"/>
      <c r="C103" s="257"/>
      <c r="D103" s="9"/>
      <c r="E103" s="10"/>
      <c r="F103" s="10" t="s">
        <v>14</v>
      </c>
      <c r="G103" s="11"/>
      <c r="H103" s="10"/>
      <c r="I103" s="10" t="s">
        <v>13</v>
      </c>
      <c r="J103" s="10"/>
      <c r="K103" s="11"/>
      <c r="L103" s="9"/>
      <c r="M103" s="10"/>
      <c r="N103" s="6" t="s">
        <v>1</v>
      </c>
      <c r="O103" s="10"/>
      <c r="P103" s="10"/>
      <c r="Q103" s="10"/>
      <c r="R103" s="71"/>
      <c r="S103" s="71"/>
      <c r="T103" s="15" t="s">
        <v>15</v>
      </c>
    </row>
    <row r="104" spans="1:20" ht="45" x14ac:dyDescent="0.2">
      <c r="A104" s="17" t="s">
        <v>2</v>
      </c>
      <c r="B104" s="17" t="s">
        <v>211</v>
      </c>
      <c r="C104" s="3" t="s">
        <v>3</v>
      </c>
      <c r="D104" s="12" t="s">
        <v>4</v>
      </c>
      <c r="E104" s="13" t="s">
        <v>5</v>
      </c>
      <c r="F104" s="12" t="s">
        <v>6</v>
      </c>
      <c r="G104" s="12" t="s">
        <v>3</v>
      </c>
      <c r="H104" s="3" t="s">
        <v>10</v>
      </c>
      <c r="I104" s="3" t="s">
        <v>5</v>
      </c>
      <c r="J104" s="3" t="s">
        <v>12</v>
      </c>
      <c r="K104" s="3" t="s">
        <v>11</v>
      </c>
      <c r="L104" s="1" t="s">
        <v>7</v>
      </c>
      <c r="M104" s="2" t="s">
        <v>5</v>
      </c>
      <c r="N104" s="2" t="s">
        <v>9</v>
      </c>
      <c r="O104" s="3" t="s">
        <v>8</v>
      </c>
      <c r="P104" s="3" t="s">
        <v>6</v>
      </c>
      <c r="Q104" s="14" t="s">
        <v>3</v>
      </c>
      <c r="R104" s="14" t="s">
        <v>212</v>
      </c>
      <c r="S104" s="14" t="s">
        <v>213</v>
      </c>
      <c r="T104" s="2" t="s">
        <v>16</v>
      </c>
    </row>
    <row r="105" spans="1:20" ht="14.25" customHeight="1" x14ac:dyDescent="0.2">
      <c r="A105" s="334" t="s">
        <v>208</v>
      </c>
      <c r="B105" s="334">
        <v>20</v>
      </c>
      <c r="C105" s="334" t="s">
        <v>18</v>
      </c>
      <c r="D105" s="334" t="s">
        <v>207</v>
      </c>
      <c r="E105" s="331" t="s">
        <v>329</v>
      </c>
      <c r="F105" s="331" t="s">
        <v>18</v>
      </c>
      <c r="G105" s="320">
        <f>C105*F105</f>
        <v>1</v>
      </c>
      <c r="H105" s="320" t="s">
        <v>205</v>
      </c>
      <c r="I105" s="348" t="s">
        <v>320</v>
      </c>
      <c r="J105" s="345" t="str">
        <f>IF((AND(B105=30,E105="Drum 3400")),"12",IF((AND(B105=25,E105="Drum 3400")),"10",IF((AND(B105=20,E105="Drum 3400")),"8",IF((AND(B105=15,E105="Drum 3400")),"6",IF((AND(B105=30,E105="Drum 5100")),"18",IF((AND(B105=25,E105="Drum 5100")),"15",IF((AND(B105=20,E105="Drum 5100")),"12",IF((AND(B105=15,E105="Drum 5100")),"9"))))))))</f>
        <v>12</v>
      </c>
      <c r="K105" s="320">
        <f>J105*G105</f>
        <v>12</v>
      </c>
      <c r="L105" s="217" t="s">
        <v>18</v>
      </c>
      <c r="M105" s="238" t="s">
        <v>253</v>
      </c>
      <c r="N105" s="218" t="s">
        <v>132</v>
      </c>
      <c r="O105" s="121">
        <f>2*$J$105</f>
        <v>24</v>
      </c>
      <c r="P105" s="121">
        <f>O105*$F$105</f>
        <v>24</v>
      </c>
      <c r="Q105" s="121">
        <f>P105*$C$105</f>
        <v>24</v>
      </c>
      <c r="R105" s="121">
        <f>7*$Q$105</f>
        <v>168</v>
      </c>
      <c r="S105" s="211" t="s">
        <v>214</v>
      </c>
      <c r="T105" s="85"/>
    </row>
    <row r="106" spans="1:20" ht="14.25" customHeight="1" x14ac:dyDescent="0.2">
      <c r="A106" s="324"/>
      <c r="B106" s="324"/>
      <c r="C106" s="324"/>
      <c r="D106" s="324"/>
      <c r="E106" s="332"/>
      <c r="F106" s="332"/>
      <c r="G106" s="321"/>
      <c r="H106" s="321"/>
      <c r="I106" s="348"/>
      <c r="J106" s="346"/>
      <c r="K106" s="321"/>
      <c r="L106" s="217" t="s">
        <v>19</v>
      </c>
      <c r="M106" s="238" t="s">
        <v>254</v>
      </c>
      <c r="N106" s="85" t="s">
        <v>306</v>
      </c>
      <c r="O106" s="121">
        <f t="shared" ref="O106:O107" si="8">2*$J$105</f>
        <v>24</v>
      </c>
      <c r="P106" s="121">
        <f t="shared" ref="P106:P123" si="9">O106*$F$105</f>
        <v>24</v>
      </c>
      <c r="Q106" s="121">
        <f t="shared" ref="Q106:Q123" si="10">P106*$C$105</f>
        <v>24</v>
      </c>
      <c r="R106" s="85">
        <f>7.2*Q106</f>
        <v>172.8</v>
      </c>
      <c r="S106" s="211" t="s">
        <v>214</v>
      </c>
      <c r="T106" s="121"/>
    </row>
    <row r="107" spans="1:20" ht="14.25" customHeight="1" x14ac:dyDescent="0.2">
      <c r="A107" s="324"/>
      <c r="B107" s="324"/>
      <c r="C107" s="324"/>
      <c r="D107" s="324"/>
      <c r="E107" s="332"/>
      <c r="F107" s="332"/>
      <c r="G107" s="321"/>
      <c r="H107" s="321"/>
      <c r="I107" s="348"/>
      <c r="J107" s="346"/>
      <c r="K107" s="321"/>
      <c r="L107" s="217" t="s">
        <v>20</v>
      </c>
      <c r="M107" s="238" t="s">
        <v>322</v>
      </c>
      <c r="N107" s="218" t="s">
        <v>135</v>
      </c>
      <c r="O107" s="121">
        <f t="shared" si="8"/>
        <v>24</v>
      </c>
      <c r="P107" s="121">
        <f t="shared" si="9"/>
        <v>24</v>
      </c>
      <c r="Q107" s="121">
        <f t="shared" si="10"/>
        <v>24</v>
      </c>
      <c r="R107" s="121">
        <f>3.6*Q107</f>
        <v>86.4</v>
      </c>
      <c r="S107" s="211" t="s">
        <v>214</v>
      </c>
      <c r="T107" s="121"/>
    </row>
    <row r="108" spans="1:20" ht="14.25" customHeight="1" thickBot="1" x14ac:dyDescent="0.25">
      <c r="A108" s="324"/>
      <c r="B108" s="324"/>
      <c r="C108" s="324"/>
      <c r="D108" s="324"/>
      <c r="E108" s="332"/>
      <c r="F108" s="332"/>
      <c r="G108" s="321"/>
      <c r="H108" s="322"/>
      <c r="I108" s="349"/>
      <c r="J108" s="347"/>
      <c r="K108" s="322"/>
      <c r="L108" s="219" t="s">
        <v>21</v>
      </c>
      <c r="M108" s="239" t="s">
        <v>256</v>
      </c>
      <c r="N108" s="220" t="s">
        <v>307</v>
      </c>
      <c r="O108" s="130" t="str">
        <f>$J$105</f>
        <v>12</v>
      </c>
      <c r="P108" s="130">
        <f t="shared" si="9"/>
        <v>12</v>
      </c>
      <c r="Q108" s="130">
        <f t="shared" si="10"/>
        <v>12</v>
      </c>
      <c r="R108" s="130">
        <f>1.9*Q108</f>
        <v>22.799999999999997</v>
      </c>
      <c r="S108" s="221" t="s">
        <v>214</v>
      </c>
      <c r="T108" s="130"/>
    </row>
    <row r="109" spans="1:20" ht="14.25" customHeight="1" x14ac:dyDescent="0.2">
      <c r="A109" s="324"/>
      <c r="B109" s="324"/>
      <c r="C109" s="324"/>
      <c r="D109" s="324"/>
      <c r="E109" s="332"/>
      <c r="F109" s="332"/>
      <c r="G109" s="321"/>
      <c r="H109" s="329" t="s">
        <v>206</v>
      </c>
      <c r="I109" s="384" t="s">
        <v>321</v>
      </c>
      <c r="J109" s="329">
        <v>2</v>
      </c>
      <c r="K109" s="329">
        <f>J109*G105</f>
        <v>2</v>
      </c>
      <c r="L109" s="222">
        <v>1</v>
      </c>
      <c r="M109" s="246" t="s">
        <v>258</v>
      </c>
      <c r="N109" s="230" t="s">
        <v>340</v>
      </c>
      <c r="O109" s="128">
        <v>1</v>
      </c>
      <c r="P109" s="128">
        <f t="shared" si="9"/>
        <v>1</v>
      </c>
      <c r="Q109" s="223">
        <f t="shared" si="10"/>
        <v>1</v>
      </c>
      <c r="R109" s="223">
        <f>Q109*5.7</f>
        <v>5.7</v>
      </c>
      <c r="S109" s="223" t="s">
        <v>214</v>
      </c>
      <c r="T109" s="128"/>
    </row>
    <row r="110" spans="1:20" ht="14.25" customHeight="1" x14ac:dyDescent="0.2">
      <c r="A110" s="324"/>
      <c r="B110" s="324"/>
      <c r="C110" s="324"/>
      <c r="D110" s="324"/>
      <c r="E110" s="332"/>
      <c r="F110" s="332"/>
      <c r="G110" s="321"/>
      <c r="H110" s="321"/>
      <c r="I110" s="385"/>
      <c r="J110" s="321"/>
      <c r="K110" s="321"/>
      <c r="L110" s="217">
        <v>2</v>
      </c>
      <c r="M110" s="238" t="s">
        <v>257</v>
      </c>
      <c r="N110" s="218" t="s">
        <v>341</v>
      </c>
      <c r="O110" s="121">
        <v>1</v>
      </c>
      <c r="P110" s="121">
        <f t="shared" si="9"/>
        <v>1</v>
      </c>
      <c r="Q110" s="211">
        <f t="shared" si="10"/>
        <v>1</v>
      </c>
      <c r="R110" s="211">
        <f>Q110*6.6</f>
        <v>6.6</v>
      </c>
      <c r="S110" s="211" t="s">
        <v>214</v>
      </c>
      <c r="T110" s="121"/>
    </row>
    <row r="111" spans="1:20" ht="14.25" customHeight="1" x14ac:dyDescent="0.2">
      <c r="A111" s="324"/>
      <c r="B111" s="324"/>
      <c r="C111" s="324"/>
      <c r="D111" s="324"/>
      <c r="E111" s="332"/>
      <c r="F111" s="332"/>
      <c r="G111" s="321"/>
      <c r="H111" s="321"/>
      <c r="I111" s="385"/>
      <c r="J111" s="321"/>
      <c r="K111" s="321"/>
      <c r="L111" s="217">
        <v>3</v>
      </c>
      <c r="M111" s="224" t="s">
        <v>259</v>
      </c>
      <c r="N111" s="218" t="s">
        <v>145</v>
      </c>
      <c r="O111" s="218">
        <f>4</f>
        <v>4</v>
      </c>
      <c r="P111" s="218">
        <f t="shared" si="9"/>
        <v>4</v>
      </c>
      <c r="Q111" s="211">
        <f t="shared" si="10"/>
        <v>4</v>
      </c>
      <c r="R111" s="211">
        <f>7.5*Q111</f>
        <v>30</v>
      </c>
      <c r="S111" s="211" t="s">
        <v>214</v>
      </c>
      <c r="T111" s="121"/>
    </row>
    <row r="112" spans="1:20" ht="14.25" customHeight="1" thickBot="1" x14ac:dyDescent="0.25">
      <c r="A112" s="324"/>
      <c r="B112" s="324"/>
      <c r="C112" s="324"/>
      <c r="D112" s="324"/>
      <c r="E112" s="332"/>
      <c r="F112" s="332"/>
      <c r="G112" s="321"/>
      <c r="H112" s="322"/>
      <c r="I112" s="386"/>
      <c r="J112" s="322"/>
      <c r="K112" s="322"/>
      <c r="L112" s="219">
        <v>4</v>
      </c>
      <c r="M112" s="232" t="s">
        <v>323</v>
      </c>
      <c r="N112" s="225" t="s">
        <v>147</v>
      </c>
      <c r="O112" s="226" t="str">
        <f>IF(B105=30,"6",IF(B105=25,"5",IF(B105=20,"4",IF(B105=15,"3"))))</f>
        <v>4</v>
      </c>
      <c r="P112" s="189">
        <f t="shared" si="9"/>
        <v>4</v>
      </c>
      <c r="Q112" s="221">
        <f t="shared" si="10"/>
        <v>4</v>
      </c>
      <c r="R112" s="221">
        <f>Q112*0.52</f>
        <v>2.08</v>
      </c>
      <c r="S112" s="221" t="s">
        <v>214</v>
      </c>
      <c r="T112" s="130"/>
    </row>
    <row r="113" spans="1:20" ht="14.25" customHeight="1" x14ac:dyDescent="0.2">
      <c r="A113" s="324"/>
      <c r="B113" s="324"/>
      <c r="C113" s="324"/>
      <c r="D113" s="324"/>
      <c r="E113" s="332"/>
      <c r="F113" s="332"/>
      <c r="G113" s="321"/>
      <c r="H113" s="387" t="s">
        <v>207</v>
      </c>
      <c r="I113" s="389" t="s">
        <v>261</v>
      </c>
      <c r="J113" s="387">
        <v>1</v>
      </c>
      <c r="K113" s="387">
        <f>J113*G105</f>
        <v>1</v>
      </c>
      <c r="L113" s="227">
        <v>1</v>
      </c>
      <c r="M113" s="205" t="s">
        <v>261</v>
      </c>
      <c r="N113" s="228" t="str">
        <f>IF(B105=30,"UPN40,L=6600",IF(B105=20,"UPN40,L=4600",IF(B105=25,"UPN40,L=5600",IF(B105=15,"UPN40,L=3600"))))</f>
        <v>UPN40,L=4600</v>
      </c>
      <c r="O113" s="133">
        <v>1</v>
      </c>
      <c r="P113" s="133">
        <f t="shared" si="9"/>
        <v>1</v>
      </c>
      <c r="Q113" s="229">
        <f t="shared" si="10"/>
        <v>1</v>
      </c>
      <c r="R113" s="92">
        <f>(IF(B105=30,"12.4",IF(B105=20,"8.7",IF(B105=25,"10.6",IF(B105=15,"6.8")))))*Q113</f>
        <v>8.6999999999999993</v>
      </c>
      <c r="S113" s="229" t="s">
        <v>214</v>
      </c>
      <c r="T113" s="133"/>
    </row>
    <row r="114" spans="1:20" ht="14.25" customHeight="1" thickBot="1" x14ac:dyDescent="0.25">
      <c r="A114" s="324"/>
      <c r="B114" s="324"/>
      <c r="C114" s="324"/>
      <c r="D114" s="324"/>
      <c r="E114" s="332"/>
      <c r="F114" s="332"/>
      <c r="G114" s="321"/>
      <c r="H114" s="388"/>
      <c r="I114" s="390"/>
      <c r="J114" s="388"/>
      <c r="K114" s="388"/>
      <c r="L114" s="219">
        <v>2</v>
      </c>
      <c r="M114" s="239" t="s">
        <v>262</v>
      </c>
      <c r="N114" s="220" t="s">
        <v>151</v>
      </c>
      <c r="O114" s="130">
        <v>6</v>
      </c>
      <c r="P114" s="130">
        <f t="shared" si="9"/>
        <v>6</v>
      </c>
      <c r="Q114" s="221">
        <f t="shared" si="10"/>
        <v>6</v>
      </c>
      <c r="R114" s="221">
        <f>0.1*Q114</f>
        <v>0.60000000000000009</v>
      </c>
      <c r="S114" s="221" t="s">
        <v>214</v>
      </c>
      <c r="T114" s="130"/>
    </row>
    <row r="115" spans="1:20" ht="14.25" customHeight="1" x14ac:dyDescent="0.2">
      <c r="A115" s="324"/>
      <c r="B115" s="324"/>
      <c r="C115" s="324"/>
      <c r="D115" s="324"/>
      <c r="E115" s="332"/>
      <c r="F115" s="332"/>
      <c r="G115" s="321"/>
      <c r="H115" s="323" t="s">
        <v>208</v>
      </c>
      <c r="I115" s="329" t="s">
        <v>263</v>
      </c>
      <c r="J115" s="329" t="str">
        <f>J105</f>
        <v>12</v>
      </c>
      <c r="K115" s="329">
        <f>J115*G105</f>
        <v>12</v>
      </c>
      <c r="L115" s="222">
        <v>1</v>
      </c>
      <c r="M115" s="246" t="s">
        <v>324</v>
      </c>
      <c r="N115" s="230" t="s">
        <v>153</v>
      </c>
      <c r="O115" s="128" t="str">
        <f>J115</f>
        <v>12</v>
      </c>
      <c r="P115" s="128">
        <f t="shared" si="9"/>
        <v>12</v>
      </c>
      <c r="Q115" s="128">
        <f t="shared" si="10"/>
        <v>12</v>
      </c>
      <c r="R115" s="128">
        <f>Q115</f>
        <v>12</v>
      </c>
      <c r="S115" s="223" t="s">
        <v>215</v>
      </c>
      <c r="T115" s="128"/>
    </row>
    <row r="116" spans="1:20" ht="14.25" customHeight="1" thickBot="1" x14ac:dyDescent="0.25">
      <c r="A116" s="324"/>
      <c r="B116" s="324"/>
      <c r="C116" s="324"/>
      <c r="D116" s="324"/>
      <c r="E116" s="332"/>
      <c r="F116" s="332"/>
      <c r="G116" s="321"/>
      <c r="H116" s="335"/>
      <c r="I116" s="322"/>
      <c r="J116" s="322"/>
      <c r="K116" s="322"/>
      <c r="L116" s="219">
        <v>2</v>
      </c>
      <c r="M116" s="239" t="s">
        <v>325</v>
      </c>
      <c r="N116" s="220" t="s">
        <v>155</v>
      </c>
      <c r="O116" s="130" t="str">
        <f>O115</f>
        <v>12</v>
      </c>
      <c r="P116" s="130">
        <f t="shared" si="9"/>
        <v>12</v>
      </c>
      <c r="Q116" s="130">
        <f t="shared" si="10"/>
        <v>12</v>
      </c>
      <c r="R116" s="130">
        <f>0.8*Q116</f>
        <v>9.6000000000000014</v>
      </c>
      <c r="S116" s="221" t="s">
        <v>214</v>
      </c>
      <c r="T116" s="130"/>
    </row>
    <row r="117" spans="1:20" ht="14.25" customHeight="1" x14ac:dyDescent="0.2">
      <c r="A117" s="324"/>
      <c r="B117" s="324"/>
      <c r="C117" s="324"/>
      <c r="D117" s="324"/>
      <c r="E117" s="332"/>
      <c r="F117" s="332"/>
      <c r="G117" s="321"/>
      <c r="H117" s="323" t="s">
        <v>209</v>
      </c>
      <c r="I117" s="329" t="s">
        <v>255</v>
      </c>
      <c r="J117" s="329" t="str">
        <f>IF(B105=30,"12",IF(B105=25,"10",IF(B105=20,"8",IF(B105=15,"6"))))</f>
        <v>8</v>
      </c>
      <c r="K117" s="329">
        <f>G105*J117</f>
        <v>8</v>
      </c>
      <c r="L117" s="222">
        <v>1</v>
      </c>
      <c r="M117" s="246" t="s">
        <v>255</v>
      </c>
      <c r="N117" s="231" t="str">
        <f>IF(B105=30,"4x162x1415",IF(B105=25,"4x162x1165",IF(B105=20,"4x162x915",IF(B105=15,"4x162x665"))))</f>
        <v>4x162x915</v>
      </c>
      <c r="O117" s="128">
        <f t="shared" ref="O117" si="11">2*$J$105</f>
        <v>24</v>
      </c>
      <c r="P117" s="128">
        <f t="shared" si="9"/>
        <v>24</v>
      </c>
      <c r="Q117" s="128">
        <f t="shared" si="10"/>
        <v>24</v>
      </c>
      <c r="R117" s="231">
        <f>(IF(B105=30,"7.2",IF(B105=25,"5.9",IF(B105=20,"4.6",IF(B105=15,"3.3")))))*Q117</f>
        <v>110.39999999999999</v>
      </c>
      <c r="S117" s="223" t="s">
        <v>214</v>
      </c>
      <c r="T117" s="128"/>
    </row>
    <row r="118" spans="1:20" ht="14.25" customHeight="1" thickBot="1" x14ac:dyDescent="0.25">
      <c r="A118" s="324"/>
      <c r="B118" s="324"/>
      <c r="C118" s="324"/>
      <c r="D118" s="324"/>
      <c r="E118" s="332"/>
      <c r="F118" s="332"/>
      <c r="G118" s="321"/>
      <c r="H118" s="335"/>
      <c r="I118" s="322"/>
      <c r="J118" s="322"/>
      <c r="K118" s="322"/>
      <c r="L118" s="219">
        <v>2</v>
      </c>
      <c r="M118" s="239" t="s">
        <v>270</v>
      </c>
      <c r="N118" s="232" t="s">
        <v>316</v>
      </c>
      <c r="O118" s="130">
        <f>2*J117</f>
        <v>16</v>
      </c>
      <c r="P118" s="130">
        <f>O118*F105</f>
        <v>16</v>
      </c>
      <c r="Q118" s="221">
        <f>P118*C105</f>
        <v>16</v>
      </c>
      <c r="R118" s="221">
        <f>0.088*Q118</f>
        <v>1.4079999999999999</v>
      </c>
      <c r="S118" s="221" t="s">
        <v>214</v>
      </c>
      <c r="T118" s="130"/>
    </row>
    <row r="119" spans="1:20" ht="15.75" customHeight="1" x14ac:dyDescent="0.2">
      <c r="A119" s="324"/>
      <c r="B119" s="324"/>
      <c r="C119" s="324"/>
      <c r="D119" s="324"/>
      <c r="E119" s="332"/>
      <c r="F119" s="332"/>
      <c r="G119" s="321"/>
      <c r="H119" s="233"/>
      <c r="I119" s="251" t="s">
        <v>276</v>
      </c>
      <c r="J119" s="233"/>
      <c r="K119" s="233"/>
      <c r="L119" s="227">
        <v>1</v>
      </c>
      <c r="M119" s="247" t="s">
        <v>276</v>
      </c>
      <c r="N119" s="234" t="s">
        <v>145</v>
      </c>
      <c r="O119" s="234">
        <f>IF(E105="Drum 5100",2,0)</f>
        <v>2</v>
      </c>
      <c r="P119" s="191">
        <f>O119*$F$105</f>
        <v>2</v>
      </c>
      <c r="Q119" s="229">
        <f>P119*$C$105</f>
        <v>2</v>
      </c>
      <c r="R119" s="229">
        <f>7.5*Q119</f>
        <v>15</v>
      </c>
      <c r="S119" s="229" t="s">
        <v>214</v>
      </c>
      <c r="T119" s="133"/>
    </row>
    <row r="120" spans="1:20" ht="14.25" customHeight="1" x14ac:dyDescent="0.2">
      <c r="A120" s="324"/>
      <c r="B120" s="324"/>
      <c r="C120" s="324"/>
      <c r="D120" s="324"/>
      <c r="E120" s="332"/>
      <c r="F120" s="332"/>
      <c r="G120" s="321"/>
      <c r="H120" s="235"/>
      <c r="I120" s="252" t="s">
        <v>260</v>
      </c>
      <c r="J120" s="235"/>
      <c r="K120" s="235"/>
      <c r="L120" s="217">
        <v>2</v>
      </c>
      <c r="M120" s="238" t="s">
        <v>260</v>
      </c>
      <c r="N120" s="179" t="str">
        <f>IF(B105=30,"1.5x1000x4000",IF(B105=25,"1.5x1250x2500",IF(B105=20,"1.5x1000x2000",IF(B105=15,"1.5x1000x1500"))))</f>
        <v>1.5x1000x2000</v>
      </c>
      <c r="O120" s="121">
        <v>2</v>
      </c>
      <c r="P120" s="121">
        <f>O120*$F$105</f>
        <v>2</v>
      </c>
      <c r="Q120" s="211">
        <f>P120*$C$105</f>
        <v>2</v>
      </c>
      <c r="R120" s="85">
        <f>(IF(B105=30,"41.6",IF(B105=25,"28.9",IF(B105=20,"18.5",IF(B105=15,"10.4")))))*Q120</f>
        <v>37</v>
      </c>
      <c r="S120" s="211" t="s">
        <v>214</v>
      </c>
      <c r="T120" s="121"/>
    </row>
    <row r="121" spans="1:20" ht="14.25" customHeight="1" x14ac:dyDescent="0.2">
      <c r="A121" s="324"/>
      <c r="B121" s="324"/>
      <c r="C121" s="324"/>
      <c r="D121" s="324"/>
      <c r="E121" s="332"/>
      <c r="F121" s="332"/>
      <c r="G121" s="321"/>
      <c r="H121" s="217" t="s">
        <v>34</v>
      </c>
      <c r="I121" s="238" t="s">
        <v>326</v>
      </c>
      <c r="J121" s="217" t="s">
        <v>34</v>
      </c>
      <c r="K121" s="217" t="s">
        <v>34</v>
      </c>
      <c r="L121" s="217">
        <v>3</v>
      </c>
      <c r="M121" s="238" t="s">
        <v>326</v>
      </c>
      <c r="N121" s="218" t="s">
        <v>138</v>
      </c>
      <c r="O121" s="121" t="str">
        <f>IF((AND(B105=30,E105="Drum 3400")),"12",IF((AND(B105=25,E105="Drum 3400")),"10",IF((AND(B105=20,E105="Drum 3400")),"8",IF((AND(B105=15,E105="Drum 3400")),"6",IF((AND(B105=30,E105="Drum 5100")),"36",IF((AND(B105=25,E105="Drum 5100")),"30",IF((AND(B105=20,E105="Drum 5100")),"24",IF((AND(B105=15,E105="Drum 5100")),"18"))))))))</f>
        <v>24</v>
      </c>
      <c r="P121" s="121">
        <f t="shared" si="9"/>
        <v>24</v>
      </c>
      <c r="Q121" s="211">
        <f t="shared" si="10"/>
        <v>24</v>
      </c>
      <c r="R121" s="211">
        <f>1.3*Q121</f>
        <v>31.200000000000003</v>
      </c>
      <c r="S121" s="211" t="s">
        <v>214</v>
      </c>
      <c r="T121" s="121"/>
    </row>
    <row r="122" spans="1:20" ht="14.25" customHeight="1" x14ac:dyDescent="0.2">
      <c r="A122" s="324"/>
      <c r="B122" s="324"/>
      <c r="C122" s="324"/>
      <c r="D122" s="324"/>
      <c r="E122" s="332"/>
      <c r="F122" s="332"/>
      <c r="G122" s="321"/>
      <c r="H122" s="217" t="s">
        <v>34</v>
      </c>
      <c r="I122" s="238" t="s">
        <v>327</v>
      </c>
      <c r="J122" s="217" t="s">
        <v>34</v>
      </c>
      <c r="K122" s="217" t="s">
        <v>34</v>
      </c>
      <c r="L122" s="217">
        <v>4</v>
      </c>
      <c r="M122" s="238" t="s">
        <v>327</v>
      </c>
      <c r="N122" s="218" t="s">
        <v>157</v>
      </c>
      <c r="O122" s="121" t="str">
        <f>IF((AND(B105=30,E105="Drum 3400")),"12",IF((AND(B105=25,E105="Drum 3400")),"10",IF((AND(B105=20,E105="Drum 3400")),"8",IF((AND(B105=15,E105="Drum 3400")),"6",IF((AND(B105=30,E105="Drum 5100")),"18",IF((AND(B105=25,E105="Drum 5100")),"15",IF((AND(B105=20,E105="Drum 5100")),"12",IF((AND(B105=15,E105="Drum5100")),"9"))))))))</f>
        <v>12</v>
      </c>
      <c r="P122" s="121">
        <f t="shared" si="9"/>
        <v>12</v>
      </c>
      <c r="Q122" s="121">
        <f t="shared" si="10"/>
        <v>12</v>
      </c>
      <c r="R122" s="121">
        <f>2.6*Q122</f>
        <v>31.200000000000003</v>
      </c>
      <c r="S122" s="211" t="s">
        <v>214</v>
      </c>
      <c r="T122" s="121"/>
    </row>
    <row r="123" spans="1:20" x14ac:dyDescent="0.2">
      <c r="A123" s="325"/>
      <c r="B123" s="325"/>
      <c r="C123" s="325"/>
      <c r="D123" s="325"/>
      <c r="E123" s="333"/>
      <c r="F123" s="333"/>
      <c r="G123" s="330"/>
      <c r="H123" s="217" t="s">
        <v>34</v>
      </c>
      <c r="I123" s="238" t="s">
        <v>264</v>
      </c>
      <c r="J123" s="217" t="s">
        <v>34</v>
      </c>
      <c r="K123" s="217" t="s">
        <v>34</v>
      </c>
      <c r="L123" s="217">
        <v>5</v>
      </c>
      <c r="M123" s="238" t="s">
        <v>264</v>
      </c>
      <c r="N123" s="85" t="str">
        <f>IF(B105=30,"1x32x9600",IF(B105=25,"1x32x8000",IF(B105=20,"1x32x6500",IF(B105=15,"1x32x5000"))))</f>
        <v>1x32x6500</v>
      </c>
      <c r="O123" s="121">
        <f>IF(E105="درام5100",6,4)</f>
        <v>4</v>
      </c>
      <c r="P123" s="121">
        <f t="shared" si="9"/>
        <v>4</v>
      </c>
      <c r="Q123" s="121">
        <f t="shared" si="10"/>
        <v>4</v>
      </c>
      <c r="R123" s="121">
        <f>(IF(B105=30,"2.4",IF(B105=25,"2",IF(B105=20,"1.6",IF(B105=15,"1.2")))))*Q123</f>
        <v>6.4</v>
      </c>
      <c r="S123" s="121" t="s">
        <v>214</v>
      </c>
      <c r="T123" s="216"/>
    </row>
    <row r="133" spans="1:20" ht="9.75" customHeight="1" x14ac:dyDescent="0.2"/>
    <row r="134" spans="1:20" ht="19.5" x14ac:dyDescent="0.2">
      <c r="A134" s="256" t="s">
        <v>0</v>
      </c>
      <c r="B134" s="257"/>
      <c r="C134" s="257"/>
      <c r="D134" s="9"/>
      <c r="E134" s="10"/>
      <c r="F134" s="10" t="s">
        <v>14</v>
      </c>
      <c r="G134" s="11"/>
      <c r="H134" s="10"/>
      <c r="I134" s="10" t="s">
        <v>13</v>
      </c>
      <c r="J134" s="10"/>
      <c r="K134" s="11"/>
      <c r="L134" s="9"/>
      <c r="M134" s="10"/>
      <c r="N134" s="6" t="s">
        <v>1</v>
      </c>
      <c r="O134" s="10"/>
      <c r="P134" s="10"/>
      <c r="Q134" s="10"/>
      <c r="R134" s="71"/>
      <c r="S134" s="71"/>
      <c r="T134" s="15" t="s">
        <v>15</v>
      </c>
    </row>
    <row r="135" spans="1:20" ht="45" x14ac:dyDescent="0.2">
      <c r="A135" s="17" t="s">
        <v>2</v>
      </c>
      <c r="B135" s="17" t="s">
        <v>211</v>
      </c>
      <c r="C135" s="3" t="s">
        <v>3</v>
      </c>
      <c r="D135" s="12" t="s">
        <v>4</v>
      </c>
      <c r="E135" s="13" t="s">
        <v>5</v>
      </c>
      <c r="F135" s="12" t="s">
        <v>6</v>
      </c>
      <c r="G135" s="12" t="s">
        <v>3</v>
      </c>
      <c r="H135" s="3" t="s">
        <v>10</v>
      </c>
      <c r="I135" s="3" t="s">
        <v>5</v>
      </c>
      <c r="J135" s="3" t="s">
        <v>12</v>
      </c>
      <c r="K135" s="3" t="s">
        <v>11</v>
      </c>
      <c r="L135" s="1" t="s">
        <v>7</v>
      </c>
      <c r="M135" s="2" t="s">
        <v>5</v>
      </c>
      <c r="N135" s="2" t="s">
        <v>9</v>
      </c>
      <c r="O135" s="3" t="s">
        <v>8</v>
      </c>
      <c r="P135" s="3" t="s">
        <v>6</v>
      </c>
      <c r="Q135" s="14" t="s">
        <v>3</v>
      </c>
      <c r="R135" s="14" t="s">
        <v>212</v>
      </c>
      <c r="S135" s="14" t="s">
        <v>213</v>
      </c>
      <c r="T135" s="2" t="s">
        <v>16</v>
      </c>
    </row>
    <row r="136" spans="1:20" ht="12.95" customHeight="1" x14ac:dyDescent="0.2">
      <c r="A136" s="372" t="s">
        <v>208</v>
      </c>
      <c r="B136" s="372">
        <v>20</v>
      </c>
      <c r="C136" s="372" t="s">
        <v>18</v>
      </c>
      <c r="D136" s="372" t="s">
        <v>207</v>
      </c>
      <c r="E136" s="378" t="s">
        <v>329</v>
      </c>
      <c r="F136" s="331" t="s">
        <v>18</v>
      </c>
      <c r="G136" s="320">
        <f>C136*F136</f>
        <v>1</v>
      </c>
      <c r="H136" s="236" t="s">
        <v>34</v>
      </c>
      <c r="I136" s="121" t="s">
        <v>265</v>
      </c>
      <c r="J136" s="236" t="s">
        <v>34</v>
      </c>
      <c r="K136" s="236" t="s">
        <v>34</v>
      </c>
      <c r="L136" s="217">
        <v>6</v>
      </c>
      <c r="M136" s="121" t="s">
        <v>265</v>
      </c>
      <c r="N136" s="218" t="s">
        <v>34</v>
      </c>
      <c r="O136" s="121" t="str">
        <f>O122</f>
        <v>12</v>
      </c>
      <c r="P136" s="121">
        <f>O136*$F$136</f>
        <v>12</v>
      </c>
      <c r="Q136" s="236">
        <f>P136*$C$136</f>
        <v>12</v>
      </c>
      <c r="R136" s="236">
        <f>Q136</f>
        <v>12</v>
      </c>
      <c r="S136" s="237" t="s">
        <v>215</v>
      </c>
      <c r="T136" s="5"/>
    </row>
    <row r="137" spans="1:20" ht="12.95" customHeight="1" x14ac:dyDescent="0.2">
      <c r="A137" s="373"/>
      <c r="B137" s="373"/>
      <c r="C137" s="373"/>
      <c r="D137" s="373"/>
      <c r="E137" s="379"/>
      <c r="F137" s="332"/>
      <c r="G137" s="321"/>
      <c r="H137" s="238" t="s">
        <v>34</v>
      </c>
      <c r="I137" s="133" t="s">
        <v>266</v>
      </c>
      <c r="J137" s="238" t="s">
        <v>34</v>
      </c>
      <c r="K137" s="238" t="s">
        <v>34</v>
      </c>
      <c r="L137" s="227">
        <v>7</v>
      </c>
      <c r="M137" s="133" t="s">
        <v>266</v>
      </c>
      <c r="N137" s="218" t="s">
        <v>310</v>
      </c>
      <c r="O137" s="121" t="str">
        <f>O136</f>
        <v>12</v>
      </c>
      <c r="P137" s="121">
        <f t="shared" ref="P137:P154" si="12">O137*$F$136</f>
        <v>12</v>
      </c>
      <c r="Q137" s="229">
        <f t="shared" ref="Q137:Q154" si="13">P137*$C$136</f>
        <v>12</v>
      </c>
      <c r="R137" s="229">
        <f>Q137</f>
        <v>12</v>
      </c>
      <c r="S137" s="229" t="s">
        <v>215</v>
      </c>
      <c r="T137" s="5"/>
    </row>
    <row r="138" spans="1:20" ht="12.95" customHeight="1" x14ac:dyDescent="0.2">
      <c r="A138" s="373"/>
      <c r="B138" s="373"/>
      <c r="C138" s="373"/>
      <c r="D138" s="373"/>
      <c r="E138" s="379"/>
      <c r="F138" s="332"/>
      <c r="G138" s="321"/>
      <c r="H138" s="238" t="s">
        <v>34</v>
      </c>
      <c r="I138" s="121" t="s">
        <v>267</v>
      </c>
      <c r="J138" s="238" t="s">
        <v>34</v>
      </c>
      <c r="K138" s="238" t="s">
        <v>34</v>
      </c>
      <c r="L138" s="217">
        <v>8</v>
      </c>
      <c r="M138" s="121" t="s">
        <v>267</v>
      </c>
      <c r="N138" s="218" t="s">
        <v>310</v>
      </c>
      <c r="O138" s="121" t="str">
        <f>O137</f>
        <v>12</v>
      </c>
      <c r="P138" s="121">
        <f t="shared" si="12"/>
        <v>12</v>
      </c>
      <c r="Q138" s="211">
        <f t="shared" si="13"/>
        <v>12</v>
      </c>
      <c r="R138" s="211">
        <f>Q138</f>
        <v>12</v>
      </c>
      <c r="S138" s="211" t="s">
        <v>215</v>
      </c>
      <c r="T138" s="5"/>
    </row>
    <row r="139" spans="1:20" ht="12.95" customHeight="1" thickBot="1" x14ac:dyDescent="0.25">
      <c r="A139" s="373"/>
      <c r="B139" s="373"/>
      <c r="C139" s="373"/>
      <c r="D139" s="373"/>
      <c r="E139" s="379"/>
      <c r="F139" s="332"/>
      <c r="G139" s="321"/>
      <c r="H139" s="239" t="s">
        <v>34</v>
      </c>
      <c r="I139" s="130" t="s">
        <v>331</v>
      </c>
      <c r="J139" s="239" t="s">
        <v>34</v>
      </c>
      <c r="K139" s="239" t="s">
        <v>34</v>
      </c>
      <c r="L139" s="219">
        <v>9</v>
      </c>
      <c r="M139" s="130" t="s">
        <v>331</v>
      </c>
      <c r="N139" s="220" t="s">
        <v>164</v>
      </c>
      <c r="O139" s="130" t="str">
        <f>J105</f>
        <v>12</v>
      </c>
      <c r="P139" s="130">
        <f t="shared" si="12"/>
        <v>12</v>
      </c>
      <c r="Q139" s="221">
        <f t="shared" si="13"/>
        <v>12</v>
      </c>
      <c r="R139" s="221">
        <f>Q139</f>
        <v>12</v>
      </c>
      <c r="S139" s="221" t="s">
        <v>215</v>
      </c>
      <c r="T139" s="52"/>
    </row>
    <row r="140" spans="1:20" ht="12.95" customHeight="1" x14ac:dyDescent="0.2">
      <c r="A140" s="373"/>
      <c r="B140" s="373"/>
      <c r="C140" s="373"/>
      <c r="D140" s="373"/>
      <c r="E140" s="379"/>
      <c r="F140" s="332"/>
      <c r="G140" s="321"/>
      <c r="H140" s="356" t="s">
        <v>309</v>
      </c>
      <c r="I140" s="360" t="s">
        <v>278</v>
      </c>
      <c r="J140" s="360">
        <v>1</v>
      </c>
      <c r="K140" s="360">
        <f>J140*G136</f>
        <v>1</v>
      </c>
      <c r="L140" s="227">
        <v>1</v>
      </c>
      <c r="M140" s="133" t="s">
        <v>268</v>
      </c>
      <c r="N140" s="234" t="s">
        <v>168</v>
      </c>
      <c r="O140" s="92" t="str">
        <f>IF(B136=30,"24",IF(B136=20,"16",IF(B136=25,"20",IF(B136=15,"12"))))</f>
        <v>16</v>
      </c>
      <c r="P140" s="133">
        <f t="shared" si="12"/>
        <v>16</v>
      </c>
      <c r="Q140" s="229">
        <f t="shared" si="13"/>
        <v>16</v>
      </c>
      <c r="R140" s="229">
        <f t="shared" ref="R140:R153" si="14">Q140</f>
        <v>16</v>
      </c>
      <c r="S140" s="229" t="s">
        <v>215</v>
      </c>
      <c r="T140" s="16"/>
    </row>
    <row r="141" spans="1:20" ht="12.95" customHeight="1" x14ac:dyDescent="0.2">
      <c r="A141" s="373"/>
      <c r="B141" s="373"/>
      <c r="C141" s="373"/>
      <c r="D141" s="373"/>
      <c r="E141" s="379"/>
      <c r="F141" s="332"/>
      <c r="G141" s="321"/>
      <c r="H141" s="356"/>
      <c r="I141" s="360"/>
      <c r="J141" s="360"/>
      <c r="K141" s="360"/>
      <c r="L141" s="217">
        <v>2</v>
      </c>
      <c r="M141" s="121" t="s">
        <v>269</v>
      </c>
      <c r="N141" s="218" t="s">
        <v>170</v>
      </c>
      <c r="O141" s="121" t="str">
        <f>O140</f>
        <v>16</v>
      </c>
      <c r="P141" s="121">
        <f t="shared" si="12"/>
        <v>16</v>
      </c>
      <c r="Q141" s="211">
        <f t="shared" si="13"/>
        <v>16</v>
      </c>
      <c r="R141" s="211">
        <f t="shared" si="14"/>
        <v>16</v>
      </c>
      <c r="S141" s="211" t="s">
        <v>215</v>
      </c>
      <c r="T141" s="5"/>
    </row>
    <row r="142" spans="1:20" ht="12.95" customHeight="1" x14ac:dyDescent="0.2">
      <c r="A142" s="373"/>
      <c r="B142" s="373"/>
      <c r="C142" s="373"/>
      <c r="D142" s="373"/>
      <c r="E142" s="379"/>
      <c r="F142" s="332"/>
      <c r="G142" s="321"/>
      <c r="H142" s="356"/>
      <c r="I142" s="360"/>
      <c r="J142" s="360"/>
      <c r="K142" s="360"/>
      <c r="L142" s="227">
        <v>3</v>
      </c>
      <c r="M142" s="121" t="s">
        <v>332</v>
      </c>
      <c r="N142" s="218" t="s">
        <v>172</v>
      </c>
      <c r="O142" s="121" t="str">
        <f>O141</f>
        <v>16</v>
      </c>
      <c r="P142" s="121">
        <f t="shared" si="12"/>
        <v>16</v>
      </c>
      <c r="Q142" s="240">
        <f t="shared" si="13"/>
        <v>16</v>
      </c>
      <c r="R142" s="240">
        <f t="shared" si="14"/>
        <v>16</v>
      </c>
      <c r="S142" s="240" t="s">
        <v>215</v>
      </c>
      <c r="T142" s="5"/>
    </row>
    <row r="143" spans="1:20" ht="12.95" customHeight="1" x14ac:dyDescent="0.2">
      <c r="A143" s="373"/>
      <c r="B143" s="373"/>
      <c r="C143" s="373"/>
      <c r="D143" s="373"/>
      <c r="E143" s="379"/>
      <c r="F143" s="332"/>
      <c r="G143" s="321"/>
      <c r="H143" s="356"/>
      <c r="I143" s="360"/>
      <c r="J143" s="360"/>
      <c r="K143" s="360"/>
      <c r="L143" s="217">
        <v>4</v>
      </c>
      <c r="M143" s="133" t="s">
        <v>333</v>
      </c>
      <c r="N143" s="234" t="s">
        <v>49</v>
      </c>
      <c r="O143" s="133">
        <f>O120</f>
        <v>2</v>
      </c>
      <c r="P143" s="133">
        <f t="shared" si="12"/>
        <v>2</v>
      </c>
      <c r="Q143" s="211">
        <f t="shared" si="13"/>
        <v>2</v>
      </c>
      <c r="R143" s="211">
        <f t="shared" si="14"/>
        <v>2</v>
      </c>
      <c r="S143" s="211" t="s">
        <v>215</v>
      </c>
      <c r="T143" s="5"/>
    </row>
    <row r="144" spans="1:20" ht="12.95" customHeight="1" x14ac:dyDescent="0.2">
      <c r="A144" s="373"/>
      <c r="B144" s="373"/>
      <c r="C144" s="373"/>
      <c r="D144" s="373"/>
      <c r="E144" s="379"/>
      <c r="F144" s="332"/>
      <c r="G144" s="321"/>
      <c r="H144" s="356"/>
      <c r="I144" s="360"/>
      <c r="J144" s="360"/>
      <c r="K144" s="360"/>
      <c r="L144" s="227">
        <v>5</v>
      </c>
      <c r="M144" s="121" t="s">
        <v>334</v>
      </c>
      <c r="N144" s="218" t="s">
        <v>124</v>
      </c>
      <c r="O144" s="121">
        <f>O143</f>
        <v>2</v>
      </c>
      <c r="P144" s="121">
        <f t="shared" si="12"/>
        <v>2</v>
      </c>
      <c r="Q144" s="229">
        <f t="shared" si="13"/>
        <v>2</v>
      </c>
      <c r="R144" s="229">
        <f t="shared" si="14"/>
        <v>2</v>
      </c>
      <c r="S144" s="229" t="s">
        <v>215</v>
      </c>
      <c r="T144" s="5"/>
    </row>
    <row r="145" spans="1:20" ht="12.95" customHeight="1" x14ac:dyDescent="0.2">
      <c r="A145" s="373"/>
      <c r="B145" s="373"/>
      <c r="C145" s="373"/>
      <c r="D145" s="373"/>
      <c r="E145" s="379"/>
      <c r="F145" s="332"/>
      <c r="G145" s="321"/>
      <c r="H145" s="356"/>
      <c r="I145" s="360"/>
      <c r="J145" s="360"/>
      <c r="K145" s="360"/>
      <c r="L145" s="217">
        <v>6</v>
      </c>
      <c r="M145" s="121" t="s">
        <v>271</v>
      </c>
      <c r="N145" s="218" t="s">
        <v>122</v>
      </c>
      <c r="O145" s="121">
        <f>J105*11</f>
        <v>132</v>
      </c>
      <c r="P145" s="121">
        <f t="shared" si="12"/>
        <v>132</v>
      </c>
      <c r="Q145" s="229">
        <f t="shared" si="13"/>
        <v>132</v>
      </c>
      <c r="R145" s="229">
        <f t="shared" si="14"/>
        <v>132</v>
      </c>
      <c r="S145" s="229" t="s">
        <v>215</v>
      </c>
      <c r="T145" s="5"/>
    </row>
    <row r="146" spans="1:20" ht="12.95" customHeight="1" x14ac:dyDescent="0.2">
      <c r="A146" s="373"/>
      <c r="B146" s="373"/>
      <c r="C146" s="373"/>
      <c r="D146" s="373"/>
      <c r="E146" s="379"/>
      <c r="F146" s="332"/>
      <c r="G146" s="321"/>
      <c r="H146" s="356"/>
      <c r="I146" s="360"/>
      <c r="J146" s="360"/>
      <c r="K146" s="360"/>
      <c r="L146" s="227">
        <v>7</v>
      </c>
      <c r="M146" s="121" t="s">
        <v>272</v>
      </c>
      <c r="N146" s="218" t="s">
        <v>124</v>
      </c>
      <c r="O146" s="121">
        <f>O145</f>
        <v>132</v>
      </c>
      <c r="P146" s="121">
        <f t="shared" si="12"/>
        <v>132</v>
      </c>
      <c r="Q146" s="211">
        <f t="shared" si="13"/>
        <v>132</v>
      </c>
      <c r="R146" s="211">
        <f t="shared" si="14"/>
        <v>132</v>
      </c>
      <c r="S146" s="211" t="s">
        <v>215</v>
      </c>
      <c r="T146" s="5"/>
    </row>
    <row r="147" spans="1:20" ht="12.95" customHeight="1" x14ac:dyDescent="0.2">
      <c r="A147" s="373"/>
      <c r="B147" s="373"/>
      <c r="C147" s="373"/>
      <c r="D147" s="373"/>
      <c r="E147" s="379"/>
      <c r="F147" s="332"/>
      <c r="G147" s="321"/>
      <c r="H147" s="356"/>
      <c r="I147" s="360"/>
      <c r="J147" s="360"/>
      <c r="K147" s="360"/>
      <c r="L147" s="217">
        <v>8</v>
      </c>
      <c r="M147" s="121" t="s">
        <v>335</v>
      </c>
      <c r="N147" s="218" t="s">
        <v>38</v>
      </c>
      <c r="O147" s="121">
        <f>O146</f>
        <v>132</v>
      </c>
      <c r="P147" s="121">
        <f t="shared" si="12"/>
        <v>132</v>
      </c>
      <c r="Q147" s="211">
        <f t="shared" si="13"/>
        <v>132</v>
      </c>
      <c r="R147" s="211">
        <f t="shared" si="14"/>
        <v>132</v>
      </c>
      <c r="S147" s="211" t="s">
        <v>215</v>
      </c>
      <c r="T147" s="5"/>
    </row>
    <row r="148" spans="1:20" ht="12.95" customHeight="1" x14ac:dyDescent="0.2">
      <c r="A148" s="373"/>
      <c r="B148" s="373"/>
      <c r="C148" s="373"/>
      <c r="D148" s="373"/>
      <c r="E148" s="379"/>
      <c r="F148" s="332"/>
      <c r="G148" s="321"/>
      <c r="H148" s="356"/>
      <c r="I148" s="360"/>
      <c r="J148" s="360"/>
      <c r="K148" s="360"/>
      <c r="L148" s="227">
        <v>9</v>
      </c>
      <c r="M148" s="121" t="s">
        <v>273</v>
      </c>
      <c r="N148" s="218" t="s">
        <v>50</v>
      </c>
      <c r="O148" s="121" t="str">
        <f>IF((AND(B136=30,E136="Drum 3400")),"48",IF((AND(B136=25,E136="Drum 3400")),"35",IF((AND(B136=20,E136="Drum 3400")),"24",IF((AND(B136=15,E136="Drum 3400")),"15",IF((AND(B136=30,E136="Drum 5100")),"120",IF((AND(B136=25,E136="Drum 5100")),"90",IF((AND(B136=20,E136="Drum 5100")),"64",IF((AND(B136=15,E136="Drum 5100")),"42"))))))))</f>
        <v>64</v>
      </c>
      <c r="P148" s="121">
        <f t="shared" si="12"/>
        <v>64</v>
      </c>
      <c r="Q148" s="211">
        <f t="shared" si="13"/>
        <v>64</v>
      </c>
      <c r="R148" s="211">
        <f t="shared" si="14"/>
        <v>64</v>
      </c>
      <c r="S148" s="211" t="s">
        <v>215</v>
      </c>
      <c r="T148" s="5"/>
    </row>
    <row r="149" spans="1:20" ht="12.95" customHeight="1" x14ac:dyDescent="0.2">
      <c r="A149" s="373"/>
      <c r="B149" s="373"/>
      <c r="C149" s="373"/>
      <c r="D149" s="373"/>
      <c r="E149" s="379"/>
      <c r="F149" s="332"/>
      <c r="G149" s="321"/>
      <c r="H149" s="356"/>
      <c r="I149" s="360"/>
      <c r="J149" s="360"/>
      <c r="K149" s="360"/>
      <c r="L149" s="217">
        <v>10</v>
      </c>
      <c r="M149" s="121" t="s">
        <v>274</v>
      </c>
      <c r="N149" s="218" t="s">
        <v>96</v>
      </c>
      <c r="O149" s="121" t="str">
        <f>O148</f>
        <v>64</v>
      </c>
      <c r="P149" s="121">
        <f t="shared" si="12"/>
        <v>64</v>
      </c>
      <c r="Q149" s="211">
        <f t="shared" si="13"/>
        <v>64</v>
      </c>
      <c r="R149" s="211">
        <f t="shared" si="14"/>
        <v>64</v>
      </c>
      <c r="S149" s="211" t="s">
        <v>215</v>
      </c>
      <c r="T149" s="5"/>
    </row>
    <row r="150" spans="1:20" ht="12.95" customHeight="1" x14ac:dyDescent="0.2">
      <c r="A150" s="373"/>
      <c r="B150" s="373"/>
      <c r="C150" s="373"/>
      <c r="D150" s="373"/>
      <c r="E150" s="379"/>
      <c r="F150" s="332"/>
      <c r="G150" s="321"/>
      <c r="H150" s="356"/>
      <c r="I150" s="360"/>
      <c r="J150" s="360"/>
      <c r="K150" s="360"/>
      <c r="L150" s="227">
        <v>11</v>
      </c>
      <c r="M150" s="121" t="s">
        <v>336</v>
      </c>
      <c r="N150" s="218" t="s">
        <v>181</v>
      </c>
      <c r="O150" s="121" t="str">
        <f>O148</f>
        <v>64</v>
      </c>
      <c r="P150" s="121">
        <f t="shared" si="12"/>
        <v>64</v>
      </c>
      <c r="Q150" s="185">
        <f t="shared" si="13"/>
        <v>64</v>
      </c>
      <c r="R150" s="185">
        <f t="shared" si="14"/>
        <v>64</v>
      </c>
      <c r="S150" s="185" t="s">
        <v>215</v>
      </c>
      <c r="T150" s="5"/>
    </row>
    <row r="151" spans="1:20" ht="12.95" customHeight="1" x14ac:dyDescent="0.2">
      <c r="A151" s="373"/>
      <c r="B151" s="373"/>
      <c r="C151" s="373"/>
      <c r="D151" s="373"/>
      <c r="E151" s="379"/>
      <c r="F151" s="332"/>
      <c r="G151" s="321"/>
      <c r="H151" s="356"/>
      <c r="I151" s="360"/>
      <c r="J151" s="360"/>
      <c r="K151" s="360"/>
      <c r="L151" s="217">
        <v>12</v>
      </c>
      <c r="M151" s="121" t="s">
        <v>275</v>
      </c>
      <c r="N151" s="218" t="s">
        <v>161</v>
      </c>
      <c r="O151" s="121">
        <f>J105*7</f>
        <v>84</v>
      </c>
      <c r="P151" s="185">
        <f t="shared" si="12"/>
        <v>84</v>
      </c>
      <c r="Q151" s="211">
        <f t="shared" si="13"/>
        <v>84</v>
      </c>
      <c r="R151" s="211">
        <f t="shared" si="14"/>
        <v>84</v>
      </c>
      <c r="S151" s="211" t="s">
        <v>215</v>
      </c>
      <c r="T151" s="174"/>
    </row>
    <row r="152" spans="1:20" ht="12.95" customHeight="1" x14ac:dyDescent="0.2">
      <c r="A152" s="373"/>
      <c r="B152" s="373"/>
      <c r="C152" s="373"/>
      <c r="D152" s="373"/>
      <c r="E152" s="379"/>
      <c r="F152" s="332"/>
      <c r="G152" s="321"/>
      <c r="H152" s="356"/>
      <c r="I152" s="360"/>
      <c r="J152" s="360"/>
      <c r="K152" s="360"/>
      <c r="L152" s="227">
        <v>13</v>
      </c>
      <c r="M152" s="121" t="s">
        <v>337</v>
      </c>
      <c r="N152" s="218" t="s">
        <v>122</v>
      </c>
      <c r="O152" s="121">
        <v>4</v>
      </c>
      <c r="P152" s="121">
        <f t="shared" si="12"/>
        <v>4</v>
      </c>
      <c r="Q152" s="211">
        <f t="shared" si="13"/>
        <v>4</v>
      </c>
      <c r="R152" s="211">
        <f t="shared" si="14"/>
        <v>4</v>
      </c>
      <c r="S152" s="211" t="s">
        <v>215</v>
      </c>
      <c r="T152" s="174"/>
    </row>
    <row r="153" spans="1:20" ht="12.95" customHeight="1" x14ac:dyDescent="0.2">
      <c r="A153" s="373"/>
      <c r="B153" s="373"/>
      <c r="C153" s="373"/>
      <c r="D153" s="373"/>
      <c r="E153" s="379"/>
      <c r="F153" s="332"/>
      <c r="G153" s="321"/>
      <c r="H153" s="356"/>
      <c r="I153" s="360"/>
      <c r="J153" s="360"/>
      <c r="K153" s="360"/>
      <c r="L153" s="217">
        <v>14</v>
      </c>
      <c r="M153" s="121" t="s">
        <v>338</v>
      </c>
      <c r="N153" s="218" t="s">
        <v>17</v>
      </c>
      <c r="O153" s="121">
        <v>4</v>
      </c>
      <c r="P153" s="121">
        <f t="shared" si="12"/>
        <v>4</v>
      </c>
      <c r="Q153" s="211">
        <f t="shared" si="13"/>
        <v>4</v>
      </c>
      <c r="R153" s="211">
        <f t="shared" si="14"/>
        <v>4</v>
      </c>
      <c r="S153" s="211" t="s">
        <v>215</v>
      </c>
      <c r="T153" s="174"/>
    </row>
    <row r="154" spans="1:20" ht="12.95" customHeight="1" x14ac:dyDescent="0.2">
      <c r="A154" s="374"/>
      <c r="B154" s="374"/>
      <c r="C154" s="374"/>
      <c r="D154" s="374"/>
      <c r="E154" s="380"/>
      <c r="F154" s="333"/>
      <c r="G154" s="330"/>
      <c r="H154" s="340"/>
      <c r="I154" s="361"/>
      <c r="J154" s="361"/>
      <c r="K154" s="361"/>
      <c r="L154" s="227">
        <v>15</v>
      </c>
      <c r="M154" s="121" t="s">
        <v>339</v>
      </c>
      <c r="N154" s="85" t="b">
        <f>IF(B104=30,"3x150x10000",IF(B104=25,"3x150x8500",IF(B104=20,"3x150x7000",IF(B104=15,"3x150x5500"))))</f>
        <v>0</v>
      </c>
      <c r="O154" s="121">
        <v>1</v>
      </c>
      <c r="P154" s="121">
        <f t="shared" si="12"/>
        <v>1</v>
      </c>
      <c r="Q154" s="211">
        <f t="shared" si="13"/>
        <v>1</v>
      </c>
      <c r="R154" s="85">
        <f>IF(B104=30,"6.75",IF(B104=25,"5.73",IF(B104=20,"4.72",IF(B104=15,"3.71"))))*Q154</f>
        <v>0</v>
      </c>
      <c r="S154" s="211" t="s">
        <v>214</v>
      </c>
      <c r="T154" s="174"/>
    </row>
    <row r="165" spans="1:20" ht="9" customHeight="1" x14ac:dyDescent="0.2"/>
    <row r="166" spans="1:20" ht="19.5" x14ac:dyDescent="0.2">
      <c r="A166" s="256" t="s">
        <v>0</v>
      </c>
      <c r="B166" s="257"/>
      <c r="C166" s="257"/>
      <c r="D166" s="9"/>
      <c r="E166" s="10"/>
      <c r="F166" s="10" t="s">
        <v>14</v>
      </c>
      <c r="G166" s="11"/>
      <c r="H166" s="10"/>
      <c r="I166" s="10" t="s">
        <v>13</v>
      </c>
      <c r="J166" s="10"/>
      <c r="K166" s="11"/>
      <c r="L166" s="9"/>
      <c r="M166" s="10"/>
      <c r="N166" s="6" t="s">
        <v>1</v>
      </c>
      <c r="O166" s="10"/>
      <c r="P166" s="10"/>
      <c r="Q166" s="10"/>
      <c r="R166" s="71"/>
      <c r="S166" s="71"/>
      <c r="T166" s="15" t="s">
        <v>15</v>
      </c>
    </row>
    <row r="167" spans="1:20" ht="45" x14ac:dyDescent="0.2">
      <c r="A167" s="17" t="s">
        <v>2</v>
      </c>
      <c r="B167" s="17"/>
      <c r="C167" s="3" t="s">
        <v>3</v>
      </c>
      <c r="D167" s="12" t="s">
        <v>4</v>
      </c>
      <c r="E167" s="13" t="s">
        <v>5</v>
      </c>
      <c r="F167" s="12" t="s">
        <v>6</v>
      </c>
      <c r="G167" s="12" t="s">
        <v>3</v>
      </c>
      <c r="H167" s="3" t="s">
        <v>10</v>
      </c>
      <c r="I167" s="43" t="s">
        <v>5</v>
      </c>
      <c r="J167" s="3" t="s">
        <v>12</v>
      </c>
      <c r="K167" s="3" t="s">
        <v>11</v>
      </c>
      <c r="L167" s="1" t="s">
        <v>7</v>
      </c>
      <c r="M167" s="33" t="s">
        <v>5</v>
      </c>
      <c r="N167" s="2" t="s">
        <v>9</v>
      </c>
      <c r="O167" s="3" t="s">
        <v>8</v>
      </c>
      <c r="P167" s="3" t="s">
        <v>6</v>
      </c>
      <c r="Q167" s="14" t="s">
        <v>3</v>
      </c>
      <c r="R167" s="14"/>
      <c r="S167" s="14"/>
      <c r="T167" s="2" t="s">
        <v>16</v>
      </c>
    </row>
    <row r="168" spans="1:20" ht="14.25" customHeight="1" x14ac:dyDescent="0.2">
      <c r="A168" s="341" t="s">
        <v>208</v>
      </c>
      <c r="B168" s="369">
        <v>15</v>
      </c>
      <c r="C168" s="341" t="s">
        <v>18</v>
      </c>
      <c r="D168" s="341" t="s">
        <v>208</v>
      </c>
      <c r="E168" s="342" t="s">
        <v>330</v>
      </c>
      <c r="F168" s="343" t="s">
        <v>18</v>
      </c>
      <c r="G168" s="344">
        <f>F168*C168</f>
        <v>1</v>
      </c>
      <c r="H168" s="241" t="s">
        <v>34</v>
      </c>
      <c r="I168" s="16" t="s">
        <v>186</v>
      </c>
      <c r="J168" s="241" t="s">
        <v>34</v>
      </c>
      <c r="K168" s="241" t="s">
        <v>34</v>
      </c>
      <c r="L168" s="177" t="s">
        <v>18</v>
      </c>
      <c r="M168" s="16"/>
      <c r="N168" s="198" t="s">
        <v>190</v>
      </c>
      <c r="O168" s="121">
        <v>1</v>
      </c>
      <c r="P168" s="121">
        <f>O168*$F$168</f>
        <v>1</v>
      </c>
      <c r="Q168" s="121">
        <f>P168*$C$168</f>
        <v>1</v>
      </c>
      <c r="R168" s="242">
        <f>15.7*$Q$168</f>
        <v>15.7</v>
      </c>
      <c r="S168" s="121" t="s">
        <v>214</v>
      </c>
      <c r="T168" s="5"/>
    </row>
    <row r="169" spans="1:20" ht="14.25" customHeight="1" x14ac:dyDescent="0.2">
      <c r="A169" s="341"/>
      <c r="B169" s="370"/>
      <c r="C169" s="341"/>
      <c r="D169" s="341"/>
      <c r="E169" s="342"/>
      <c r="F169" s="343"/>
      <c r="G169" s="344"/>
      <c r="H169" s="178" t="s">
        <v>34</v>
      </c>
      <c r="I169" s="5" t="s">
        <v>187</v>
      </c>
      <c r="J169" s="241" t="s">
        <v>34</v>
      </c>
      <c r="K169" s="241" t="s">
        <v>34</v>
      </c>
      <c r="L169" s="176" t="s">
        <v>19</v>
      </c>
      <c r="M169" s="5" t="s">
        <v>187</v>
      </c>
      <c r="N169" s="198" t="s">
        <v>190</v>
      </c>
      <c r="O169" s="121">
        <v>1</v>
      </c>
      <c r="P169" s="121">
        <f t="shared" ref="P169:P184" si="15">O169*$F$168</f>
        <v>1</v>
      </c>
      <c r="Q169" s="121">
        <f t="shared" ref="Q169:R184" si="16">P169*$C$168</f>
        <v>1</v>
      </c>
      <c r="R169" s="242">
        <f t="shared" ref="R169:R171" si="17">15.7*$Q$168</f>
        <v>15.7</v>
      </c>
      <c r="S169" s="121" t="s">
        <v>214</v>
      </c>
      <c r="T169" s="5"/>
    </row>
    <row r="170" spans="1:20" ht="14.25" customHeight="1" x14ac:dyDescent="0.2">
      <c r="A170" s="341"/>
      <c r="B170" s="370"/>
      <c r="C170" s="341"/>
      <c r="D170" s="341"/>
      <c r="E170" s="342"/>
      <c r="F170" s="343"/>
      <c r="G170" s="344"/>
      <c r="H170" s="178" t="s">
        <v>34</v>
      </c>
      <c r="I170" s="5" t="s">
        <v>188</v>
      </c>
      <c r="J170" s="241" t="s">
        <v>34</v>
      </c>
      <c r="K170" s="241" t="s">
        <v>34</v>
      </c>
      <c r="L170" s="177" t="s">
        <v>20</v>
      </c>
      <c r="M170" s="5" t="s">
        <v>188</v>
      </c>
      <c r="N170" s="198" t="s">
        <v>190</v>
      </c>
      <c r="O170" s="121">
        <v>1</v>
      </c>
      <c r="P170" s="121">
        <f t="shared" si="15"/>
        <v>1</v>
      </c>
      <c r="Q170" s="121">
        <f t="shared" si="16"/>
        <v>1</v>
      </c>
      <c r="R170" s="242">
        <f t="shared" si="17"/>
        <v>15.7</v>
      </c>
      <c r="S170" s="121" t="s">
        <v>214</v>
      </c>
      <c r="T170" s="5"/>
    </row>
    <row r="171" spans="1:20" ht="14.25" customHeight="1" x14ac:dyDescent="0.2">
      <c r="A171" s="341"/>
      <c r="B171" s="370"/>
      <c r="C171" s="341"/>
      <c r="D171" s="341"/>
      <c r="E171" s="342"/>
      <c r="F171" s="343"/>
      <c r="G171" s="344"/>
      <c r="H171" s="178" t="s">
        <v>34</v>
      </c>
      <c r="I171" s="5" t="s">
        <v>189</v>
      </c>
      <c r="J171" s="241" t="s">
        <v>34</v>
      </c>
      <c r="K171" s="241" t="s">
        <v>34</v>
      </c>
      <c r="L171" s="177" t="s">
        <v>21</v>
      </c>
      <c r="M171" s="5" t="s">
        <v>189</v>
      </c>
      <c r="N171" s="198" t="s">
        <v>190</v>
      </c>
      <c r="O171" s="121">
        <v>1</v>
      </c>
      <c r="P171" s="121">
        <f t="shared" si="15"/>
        <v>1</v>
      </c>
      <c r="Q171" s="121">
        <f t="shared" si="16"/>
        <v>1</v>
      </c>
      <c r="R171" s="242">
        <f t="shared" si="17"/>
        <v>15.7</v>
      </c>
      <c r="S171" s="121" t="s">
        <v>214</v>
      </c>
      <c r="T171" s="5"/>
    </row>
    <row r="172" spans="1:20" ht="14.25" customHeight="1" x14ac:dyDescent="0.2">
      <c r="A172" s="341"/>
      <c r="B172" s="370"/>
      <c r="C172" s="341"/>
      <c r="D172" s="341"/>
      <c r="E172" s="342"/>
      <c r="F172" s="343"/>
      <c r="G172" s="344"/>
      <c r="H172" s="243" t="s">
        <v>34</v>
      </c>
      <c r="I172" s="5" t="s">
        <v>191</v>
      </c>
      <c r="J172" s="243" t="s">
        <v>34</v>
      </c>
      <c r="K172" s="241" t="s">
        <v>34</v>
      </c>
      <c r="L172" s="176" t="s">
        <v>22</v>
      </c>
      <c r="M172" s="5" t="s">
        <v>191</v>
      </c>
      <c r="N172" s="96" t="s">
        <v>311</v>
      </c>
      <c r="O172" s="121">
        <v>1</v>
      </c>
      <c r="P172" s="121">
        <f t="shared" si="15"/>
        <v>1</v>
      </c>
      <c r="Q172" s="121">
        <f t="shared" si="16"/>
        <v>1</v>
      </c>
      <c r="R172" s="242">
        <f>7.85*$Q$168</f>
        <v>7.85</v>
      </c>
      <c r="S172" s="121" t="s">
        <v>214</v>
      </c>
      <c r="T172" s="5"/>
    </row>
    <row r="173" spans="1:20" ht="14.25" customHeight="1" x14ac:dyDescent="0.2">
      <c r="A173" s="341"/>
      <c r="B173" s="370"/>
      <c r="C173" s="341"/>
      <c r="D173" s="341"/>
      <c r="E173" s="342"/>
      <c r="F173" s="343"/>
      <c r="G173" s="344"/>
      <c r="H173" s="243" t="s">
        <v>34</v>
      </c>
      <c r="I173" s="5" t="s">
        <v>300</v>
      </c>
      <c r="J173" s="243" t="s">
        <v>34</v>
      </c>
      <c r="K173" s="241" t="s">
        <v>34</v>
      </c>
      <c r="L173" s="176" t="s">
        <v>23</v>
      </c>
      <c r="M173" s="5" t="s">
        <v>300</v>
      </c>
      <c r="N173" s="96" t="s">
        <v>311</v>
      </c>
      <c r="O173" s="121">
        <v>1</v>
      </c>
      <c r="P173" s="121">
        <f t="shared" si="15"/>
        <v>1</v>
      </c>
      <c r="Q173" s="121">
        <f t="shared" si="16"/>
        <v>1</v>
      </c>
      <c r="R173" s="242">
        <f t="shared" ref="R173:R175" si="18">7.85*$Q$168</f>
        <v>7.85</v>
      </c>
      <c r="S173" s="121" t="s">
        <v>214</v>
      </c>
      <c r="T173" s="5"/>
    </row>
    <row r="174" spans="1:20" ht="14.25" customHeight="1" x14ac:dyDescent="0.2">
      <c r="A174" s="341"/>
      <c r="B174" s="370"/>
      <c r="C174" s="341"/>
      <c r="D174" s="341"/>
      <c r="E174" s="342"/>
      <c r="F174" s="343"/>
      <c r="G174" s="344"/>
      <c r="H174" s="243" t="s">
        <v>34</v>
      </c>
      <c r="I174" s="5" t="s">
        <v>301</v>
      </c>
      <c r="J174" s="243" t="s">
        <v>34</v>
      </c>
      <c r="K174" s="241" t="s">
        <v>34</v>
      </c>
      <c r="L174" s="176" t="s">
        <v>24</v>
      </c>
      <c r="M174" s="5" t="s">
        <v>301</v>
      </c>
      <c r="N174" s="96" t="s">
        <v>311</v>
      </c>
      <c r="O174" s="121">
        <v>1</v>
      </c>
      <c r="P174" s="121">
        <f t="shared" si="15"/>
        <v>1</v>
      </c>
      <c r="Q174" s="121">
        <f t="shared" si="16"/>
        <v>1</v>
      </c>
      <c r="R174" s="242">
        <f t="shared" si="18"/>
        <v>7.85</v>
      </c>
      <c r="S174" s="121" t="s">
        <v>214</v>
      </c>
      <c r="T174" s="5"/>
    </row>
    <row r="175" spans="1:20" ht="14.25" customHeight="1" x14ac:dyDescent="0.2">
      <c r="A175" s="341"/>
      <c r="B175" s="370"/>
      <c r="C175" s="341"/>
      <c r="D175" s="341"/>
      <c r="E175" s="342"/>
      <c r="F175" s="343"/>
      <c r="G175" s="344"/>
      <c r="H175" s="243" t="s">
        <v>34</v>
      </c>
      <c r="I175" s="5" t="s">
        <v>302</v>
      </c>
      <c r="J175" s="243" t="s">
        <v>34</v>
      </c>
      <c r="K175" s="241" t="s">
        <v>34</v>
      </c>
      <c r="L175" s="176" t="s">
        <v>25</v>
      </c>
      <c r="M175" s="5" t="s">
        <v>302</v>
      </c>
      <c r="N175" s="96" t="s">
        <v>311</v>
      </c>
      <c r="O175" s="121">
        <v>1</v>
      </c>
      <c r="P175" s="121">
        <f t="shared" si="15"/>
        <v>1</v>
      </c>
      <c r="Q175" s="121">
        <f t="shared" si="16"/>
        <v>1</v>
      </c>
      <c r="R175" s="242">
        <f t="shared" si="18"/>
        <v>7.85</v>
      </c>
      <c r="S175" s="121" t="s">
        <v>214</v>
      </c>
      <c r="T175" s="5"/>
    </row>
    <row r="176" spans="1:20" ht="14.25" customHeight="1" x14ac:dyDescent="0.2">
      <c r="A176" s="341"/>
      <c r="B176" s="370"/>
      <c r="C176" s="341"/>
      <c r="D176" s="341"/>
      <c r="E176" s="342"/>
      <c r="F176" s="343"/>
      <c r="G176" s="344"/>
      <c r="H176" s="241" t="s">
        <v>34</v>
      </c>
      <c r="I176" s="198" t="s">
        <v>201</v>
      </c>
      <c r="J176" s="241" t="s">
        <v>34</v>
      </c>
      <c r="K176" s="241" t="s">
        <v>34</v>
      </c>
      <c r="L176" s="177" t="s">
        <v>26</v>
      </c>
      <c r="M176" s="198" t="s">
        <v>201</v>
      </c>
      <c r="N176" s="198" t="s">
        <v>312</v>
      </c>
      <c r="O176" s="121" t="str">
        <f>IF(B168=30,"4",IF(B168=25,"0",IF(B168=20,"0",IF(B168=15,"0"))))</f>
        <v>0</v>
      </c>
      <c r="P176" s="121">
        <f t="shared" si="15"/>
        <v>0</v>
      </c>
      <c r="Q176" s="121">
        <f t="shared" si="16"/>
        <v>0</v>
      </c>
      <c r="R176" s="242">
        <f>Q176*4.38</f>
        <v>0</v>
      </c>
      <c r="S176" s="121" t="s">
        <v>214</v>
      </c>
      <c r="T176" s="5"/>
    </row>
    <row r="177" spans="1:20" ht="14.25" customHeight="1" x14ac:dyDescent="0.2">
      <c r="A177" s="341"/>
      <c r="B177" s="370"/>
      <c r="C177" s="341"/>
      <c r="D177" s="341"/>
      <c r="E177" s="342"/>
      <c r="F177" s="343"/>
      <c r="G177" s="344"/>
      <c r="H177" s="339" t="s">
        <v>205</v>
      </c>
      <c r="I177" s="339" t="s">
        <v>303</v>
      </c>
      <c r="J177" s="339" t="s">
        <v>19</v>
      </c>
      <c r="K177" s="359">
        <f>J177*G168</f>
        <v>2</v>
      </c>
      <c r="L177" s="176" t="s">
        <v>18</v>
      </c>
      <c r="M177" s="5" t="s">
        <v>199</v>
      </c>
      <c r="N177" s="198" t="s">
        <v>200</v>
      </c>
      <c r="O177" s="121">
        <v>2</v>
      </c>
      <c r="P177" s="121">
        <f t="shared" si="15"/>
        <v>2</v>
      </c>
      <c r="Q177" s="121">
        <f t="shared" si="16"/>
        <v>2</v>
      </c>
      <c r="R177" s="242">
        <f>Q177*0.1</f>
        <v>0.2</v>
      </c>
      <c r="S177" s="121" t="s">
        <v>214</v>
      </c>
      <c r="T177" s="5"/>
    </row>
    <row r="178" spans="1:20" ht="14.25" customHeight="1" x14ac:dyDescent="0.2">
      <c r="A178" s="341"/>
      <c r="B178" s="370"/>
      <c r="C178" s="341"/>
      <c r="D178" s="341"/>
      <c r="E178" s="342"/>
      <c r="F178" s="343"/>
      <c r="G178" s="344"/>
      <c r="H178" s="340"/>
      <c r="I178" s="340"/>
      <c r="J178" s="340"/>
      <c r="K178" s="361"/>
      <c r="L178" s="177" t="s">
        <v>19</v>
      </c>
      <c r="M178" s="5" t="s">
        <v>192</v>
      </c>
      <c r="N178" s="198" t="s">
        <v>193</v>
      </c>
      <c r="O178" s="121">
        <v>2</v>
      </c>
      <c r="P178" s="121">
        <f t="shared" si="15"/>
        <v>2</v>
      </c>
      <c r="Q178" s="121">
        <f t="shared" si="16"/>
        <v>2</v>
      </c>
      <c r="R178" s="242">
        <f>11.3*Q178</f>
        <v>22.6</v>
      </c>
      <c r="S178" s="121" t="s">
        <v>214</v>
      </c>
      <c r="T178" s="5"/>
    </row>
    <row r="179" spans="1:20" ht="14.25" customHeight="1" x14ac:dyDescent="0.2">
      <c r="A179" s="341"/>
      <c r="B179" s="370"/>
      <c r="C179" s="341"/>
      <c r="D179" s="341"/>
      <c r="E179" s="342"/>
      <c r="F179" s="343"/>
      <c r="G179" s="344"/>
      <c r="H179" s="339" t="s">
        <v>206</v>
      </c>
      <c r="I179" s="339" t="s">
        <v>194</v>
      </c>
      <c r="J179" s="339">
        <v>1</v>
      </c>
      <c r="K179" s="359">
        <f>J179*G168</f>
        <v>1</v>
      </c>
      <c r="L179" s="177" t="s">
        <v>18</v>
      </c>
      <c r="M179" s="5" t="s">
        <v>195</v>
      </c>
      <c r="N179" s="198" t="s">
        <v>122</v>
      </c>
      <c r="O179" s="121">
        <v>32</v>
      </c>
      <c r="P179" s="121">
        <f t="shared" si="15"/>
        <v>32</v>
      </c>
      <c r="Q179" s="121">
        <f t="shared" si="16"/>
        <v>32</v>
      </c>
      <c r="R179" s="121">
        <f t="shared" si="16"/>
        <v>32</v>
      </c>
      <c r="S179" s="121" t="s">
        <v>215</v>
      </c>
      <c r="T179" s="5"/>
    </row>
    <row r="180" spans="1:20" ht="14.25" customHeight="1" x14ac:dyDescent="0.2">
      <c r="A180" s="341"/>
      <c r="B180" s="370"/>
      <c r="C180" s="341"/>
      <c r="D180" s="341"/>
      <c r="E180" s="342"/>
      <c r="F180" s="343"/>
      <c r="G180" s="344"/>
      <c r="H180" s="356"/>
      <c r="I180" s="356"/>
      <c r="J180" s="356"/>
      <c r="K180" s="360"/>
      <c r="L180" s="176" t="s">
        <v>19</v>
      </c>
      <c r="M180" s="5" t="s">
        <v>196</v>
      </c>
      <c r="N180" s="198" t="s">
        <v>124</v>
      </c>
      <c r="O180" s="121">
        <v>32</v>
      </c>
      <c r="P180" s="121">
        <f t="shared" si="15"/>
        <v>32</v>
      </c>
      <c r="Q180" s="121">
        <f t="shared" si="16"/>
        <v>32</v>
      </c>
      <c r="R180" s="121">
        <f t="shared" si="16"/>
        <v>32</v>
      </c>
      <c r="S180" s="121" t="s">
        <v>215</v>
      </c>
      <c r="T180" s="5"/>
    </row>
    <row r="181" spans="1:20" ht="14.25" customHeight="1" x14ac:dyDescent="0.2">
      <c r="A181" s="341"/>
      <c r="B181" s="370"/>
      <c r="C181" s="341"/>
      <c r="D181" s="341"/>
      <c r="E181" s="342"/>
      <c r="F181" s="343"/>
      <c r="G181" s="344"/>
      <c r="H181" s="356"/>
      <c r="I181" s="356"/>
      <c r="J181" s="356"/>
      <c r="K181" s="360"/>
      <c r="L181" s="177" t="s">
        <v>20</v>
      </c>
      <c r="M181" s="5" t="s">
        <v>197</v>
      </c>
      <c r="N181" s="197" t="s">
        <v>122</v>
      </c>
      <c r="O181" s="133">
        <v>2</v>
      </c>
      <c r="P181" s="121">
        <f t="shared" si="15"/>
        <v>2</v>
      </c>
      <c r="Q181" s="121">
        <f t="shared" si="16"/>
        <v>2</v>
      </c>
      <c r="R181" s="121">
        <f t="shared" si="16"/>
        <v>2</v>
      </c>
      <c r="S181" s="133" t="s">
        <v>215</v>
      </c>
      <c r="T181" s="5"/>
    </row>
    <row r="182" spans="1:20" x14ac:dyDescent="0.2">
      <c r="A182" s="341"/>
      <c r="B182" s="370"/>
      <c r="C182" s="341"/>
      <c r="D182" s="341"/>
      <c r="E182" s="342"/>
      <c r="F182" s="343"/>
      <c r="G182" s="344"/>
      <c r="H182" s="356"/>
      <c r="I182" s="356"/>
      <c r="J182" s="356"/>
      <c r="K182" s="360"/>
      <c r="L182" s="177" t="s">
        <v>21</v>
      </c>
      <c r="M182" s="5" t="s">
        <v>198</v>
      </c>
      <c r="N182" s="198" t="s">
        <v>124</v>
      </c>
      <c r="O182" s="121">
        <v>2</v>
      </c>
      <c r="P182" s="121">
        <f t="shared" si="15"/>
        <v>2</v>
      </c>
      <c r="Q182" s="121">
        <f t="shared" si="16"/>
        <v>2</v>
      </c>
      <c r="R182" s="121">
        <f t="shared" si="16"/>
        <v>2</v>
      </c>
      <c r="S182" s="121" t="s">
        <v>215</v>
      </c>
      <c r="T182" s="5"/>
    </row>
    <row r="183" spans="1:20" x14ac:dyDescent="0.2">
      <c r="A183" s="341"/>
      <c r="B183" s="370"/>
      <c r="C183" s="341"/>
      <c r="D183" s="341"/>
      <c r="E183" s="342"/>
      <c r="F183" s="343"/>
      <c r="G183" s="344"/>
      <c r="H183" s="356"/>
      <c r="I183" s="356"/>
      <c r="J183" s="356"/>
      <c r="K183" s="360"/>
      <c r="L183" s="177" t="s">
        <v>22</v>
      </c>
      <c r="M183" s="198" t="s">
        <v>202</v>
      </c>
      <c r="N183" s="198" t="s">
        <v>161</v>
      </c>
      <c r="O183" s="121">
        <v>40</v>
      </c>
      <c r="P183" s="121">
        <f t="shared" si="15"/>
        <v>40</v>
      </c>
      <c r="Q183" s="121">
        <f t="shared" si="16"/>
        <v>40</v>
      </c>
      <c r="R183" s="121">
        <f t="shared" si="16"/>
        <v>40</v>
      </c>
      <c r="S183" s="121" t="s">
        <v>215</v>
      </c>
      <c r="T183" s="5"/>
    </row>
    <row r="184" spans="1:20" x14ac:dyDescent="0.2">
      <c r="A184" s="341"/>
      <c r="B184" s="371"/>
      <c r="C184" s="341"/>
      <c r="D184" s="341"/>
      <c r="E184" s="342"/>
      <c r="F184" s="343"/>
      <c r="G184" s="344"/>
      <c r="H184" s="340"/>
      <c r="I184" s="340"/>
      <c r="J184" s="340"/>
      <c r="K184" s="361"/>
      <c r="L184" s="176" t="s">
        <v>23</v>
      </c>
      <c r="M184" s="198" t="s">
        <v>203</v>
      </c>
      <c r="N184" s="198" t="s">
        <v>204</v>
      </c>
      <c r="O184" s="121">
        <v>40</v>
      </c>
      <c r="P184" s="121">
        <f t="shared" si="15"/>
        <v>40</v>
      </c>
      <c r="Q184" s="121">
        <f t="shared" si="16"/>
        <v>40</v>
      </c>
      <c r="R184" s="121">
        <f t="shared" si="16"/>
        <v>40</v>
      </c>
      <c r="S184" s="121" t="s">
        <v>215</v>
      </c>
      <c r="T184" s="5"/>
    </row>
    <row r="196" spans="1:20" ht="10.5" customHeight="1" x14ac:dyDescent="0.2"/>
    <row r="197" spans="1:20" ht="19.5" x14ac:dyDescent="0.2">
      <c r="A197" s="256" t="s">
        <v>0</v>
      </c>
      <c r="B197" s="257"/>
      <c r="C197" s="257"/>
      <c r="D197" s="9"/>
      <c r="E197" s="10"/>
      <c r="F197" s="10" t="s">
        <v>14</v>
      </c>
      <c r="G197" s="11"/>
      <c r="H197" s="10"/>
      <c r="I197" s="10" t="s">
        <v>13</v>
      </c>
      <c r="J197" s="10"/>
      <c r="K197" s="11"/>
      <c r="L197" s="9"/>
      <c r="M197" s="10"/>
      <c r="N197" s="6" t="s">
        <v>1</v>
      </c>
      <c r="O197" s="10"/>
      <c r="P197" s="10"/>
      <c r="Q197" s="10"/>
      <c r="R197" s="71"/>
      <c r="S197" s="71"/>
      <c r="T197" s="15" t="s">
        <v>15</v>
      </c>
    </row>
    <row r="198" spans="1:20" ht="45" x14ac:dyDescent="0.2">
      <c r="A198" s="17" t="s">
        <v>2</v>
      </c>
      <c r="B198" s="17"/>
      <c r="C198" s="3" t="s">
        <v>3</v>
      </c>
      <c r="D198" s="12" t="s">
        <v>4</v>
      </c>
      <c r="E198" s="13" t="s">
        <v>5</v>
      </c>
      <c r="F198" s="12" t="s">
        <v>6</v>
      </c>
      <c r="G198" s="12" t="s">
        <v>3</v>
      </c>
      <c r="H198" s="3" t="s">
        <v>10</v>
      </c>
      <c r="I198" s="3" t="s">
        <v>5</v>
      </c>
      <c r="J198" s="3" t="s">
        <v>12</v>
      </c>
      <c r="K198" s="3" t="s">
        <v>11</v>
      </c>
      <c r="L198" s="1" t="s">
        <v>7</v>
      </c>
      <c r="M198" s="33" t="s">
        <v>5</v>
      </c>
      <c r="N198" s="2" t="s">
        <v>9</v>
      </c>
      <c r="O198" s="3" t="s">
        <v>8</v>
      </c>
      <c r="P198" s="3" t="s">
        <v>6</v>
      </c>
      <c r="Q198" s="14" t="s">
        <v>3</v>
      </c>
      <c r="R198" s="14"/>
      <c r="S198" s="14"/>
      <c r="T198" s="2" t="s">
        <v>16</v>
      </c>
    </row>
    <row r="199" spans="1:20" ht="13.5" customHeight="1" x14ac:dyDescent="0.2">
      <c r="A199" s="334" t="s">
        <v>208</v>
      </c>
      <c r="B199" s="334">
        <v>15</v>
      </c>
      <c r="C199" s="334" t="s">
        <v>18</v>
      </c>
      <c r="D199" s="334" t="s">
        <v>209</v>
      </c>
      <c r="E199" s="338" t="s">
        <v>342</v>
      </c>
      <c r="F199" s="331" t="s">
        <v>18</v>
      </c>
      <c r="G199" s="320">
        <f>F199*C199</f>
        <v>1</v>
      </c>
      <c r="H199" s="334" t="s">
        <v>205</v>
      </c>
      <c r="I199" s="336" t="s">
        <v>232</v>
      </c>
      <c r="J199" s="334">
        <v>1</v>
      </c>
      <c r="K199" s="320">
        <f>J199*G199</f>
        <v>1</v>
      </c>
      <c r="L199" s="116" t="s">
        <v>18</v>
      </c>
      <c r="M199" s="8" t="s">
        <v>231</v>
      </c>
      <c r="N199" s="89" t="s">
        <v>314</v>
      </c>
      <c r="O199" s="89">
        <v>1</v>
      </c>
      <c r="P199" s="185">
        <f>O199*$F$199</f>
        <v>1</v>
      </c>
      <c r="Q199" s="185">
        <f>P199*$C$199</f>
        <v>1</v>
      </c>
      <c r="R199" s="186">
        <f>Q199*0.51</f>
        <v>0.51</v>
      </c>
      <c r="S199" s="31" t="s">
        <v>214</v>
      </c>
      <c r="T199" s="55"/>
    </row>
    <row r="200" spans="1:20" ht="13.5" customHeight="1" x14ac:dyDescent="0.2">
      <c r="A200" s="324"/>
      <c r="B200" s="324"/>
      <c r="C200" s="324"/>
      <c r="D200" s="324"/>
      <c r="E200" s="338"/>
      <c r="F200" s="332"/>
      <c r="G200" s="321"/>
      <c r="H200" s="324"/>
      <c r="I200" s="327"/>
      <c r="J200" s="324"/>
      <c r="K200" s="321"/>
      <c r="L200" s="116" t="s">
        <v>19</v>
      </c>
      <c r="M200" s="30" t="s">
        <v>239</v>
      </c>
      <c r="N200" s="187" t="s">
        <v>92</v>
      </c>
      <c r="O200" s="187">
        <v>2</v>
      </c>
      <c r="P200" s="185">
        <f t="shared" ref="P200:P216" si="19">O200*$F$199</f>
        <v>2</v>
      </c>
      <c r="Q200" s="185">
        <f t="shared" ref="Q200:R216" si="20">P200*$C$199</f>
        <v>2</v>
      </c>
      <c r="R200" s="185">
        <f>Q200*$C$199</f>
        <v>2</v>
      </c>
      <c r="S200" s="31" t="s">
        <v>215</v>
      </c>
      <c r="T200" s="55"/>
    </row>
    <row r="201" spans="1:20" ht="13.5" customHeight="1" x14ac:dyDescent="0.2">
      <c r="A201" s="324"/>
      <c r="B201" s="324"/>
      <c r="C201" s="324"/>
      <c r="D201" s="324"/>
      <c r="E201" s="338"/>
      <c r="F201" s="332"/>
      <c r="G201" s="321"/>
      <c r="H201" s="324"/>
      <c r="I201" s="327"/>
      <c r="J201" s="324"/>
      <c r="K201" s="321"/>
      <c r="L201" s="116" t="s">
        <v>20</v>
      </c>
      <c r="M201" s="30" t="s">
        <v>233</v>
      </c>
      <c r="N201" s="187" t="s">
        <v>94</v>
      </c>
      <c r="O201" s="187">
        <v>1</v>
      </c>
      <c r="P201" s="185">
        <f t="shared" si="19"/>
        <v>1</v>
      </c>
      <c r="Q201" s="185">
        <f t="shared" si="20"/>
        <v>1</v>
      </c>
      <c r="R201" s="185">
        <f>Q201*$C$199</f>
        <v>1</v>
      </c>
      <c r="S201" s="31" t="s">
        <v>215</v>
      </c>
      <c r="T201" s="55"/>
    </row>
    <row r="202" spans="1:20" ht="13.5" customHeight="1" x14ac:dyDescent="0.2">
      <c r="A202" s="324"/>
      <c r="B202" s="324"/>
      <c r="C202" s="324"/>
      <c r="D202" s="324"/>
      <c r="E202" s="338"/>
      <c r="F202" s="332"/>
      <c r="G202" s="321"/>
      <c r="H202" s="324"/>
      <c r="I202" s="327"/>
      <c r="J202" s="324"/>
      <c r="K202" s="321"/>
      <c r="L202" s="116" t="s">
        <v>21</v>
      </c>
      <c r="M202" s="30" t="s">
        <v>234</v>
      </c>
      <c r="N202" s="187" t="s">
        <v>96</v>
      </c>
      <c r="O202" s="187">
        <v>1</v>
      </c>
      <c r="P202" s="185">
        <f t="shared" si="19"/>
        <v>1</v>
      </c>
      <c r="Q202" s="185">
        <f t="shared" si="20"/>
        <v>1</v>
      </c>
      <c r="R202" s="185">
        <f>Q202*$C$199</f>
        <v>1</v>
      </c>
      <c r="S202" s="31" t="s">
        <v>215</v>
      </c>
      <c r="T202" s="55"/>
    </row>
    <row r="203" spans="1:20" ht="13.5" customHeight="1" thickBot="1" x14ac:dyDescent="0.25">
      <c r="A203" s="324"/>
      <c r="B203" s="324"/>
      <c r="C203" s="324"/>
      <c r="D203" s="324"/>
      <c r="E203" s="338"/>
      <c r="F203" s="332"/>
      <c r="G203" s="321"/>
      <c r="H203" s="335"/>
      <c r="I203" s="337"/>
      <c r="J203" s="335"/>
      <c r="K203" s="322"/>
      <c r="L203" s="101" t="s">
        <v>22</v>
      </c>
      <c r="M203" s="44" t="s">
        <v>344</v>
      </c>
      <c r="N203" s="188" t="s">
        <v>98</v>
      </c>
      <c r="O203" s="188">
        <v>2</v>
      </c>
      <c r="P203" s="189">
        <f t="shared" si="19"/>
        <v>2</v>
      </c>
      <c r="Q203" s="189">
        <f t="shared" si="20"/>
        <v>2</v>
      </c>
      <c r="R203" s="189">
        <f>Q203*$C$199</f>
        <v>2</v>
      </c>
      <c r="S203" s="35" t="s">
        <v>215</v>
      </c>
      <c r="T203" s="57"/>
    </row>
    <row r="204" spans="1:20" ht="13.5" customHeight="1" x14ac:dyDescent="0.2">
      <c r="A204" s="324"/>
      <c r="B204" s="324"/>
      <c r="C204" s="324"/>
      <c r="D204" s="324"/>
      <c r="E204" s="338"/>
      <c r="F204" s="332"/>
      <c r="G204" s="321"/>
      <c r="H204" s="119" t="s">
        <v>34</v>
      </c>
      <c r="I204" s="37" t="s">
        <v>343</v>
      </c>
      <c r="J204" s="119" t="s">
        <v>34</v>
      </c>
      <c r="K204" s="201" t="s">
        <v>34</v>
      </c>
      <c r="L204" s="194" t="s">
        <v>18</v>
      </c>
      <c r="M204" s="37" t="s">
        <v>343</v>
      </c>
      <c r="N204" s="190" t="s">
        <v>349</v>
      </c>
      <c r="O204" s="190">
        <v>1</v>
      </c>
      <c r="P204" s="191">
        <f t="shared" si="19"/>
        <v>1</v>
      </c>
      <c r="Q204" s="191">
        <f t="shared" si="20"/>
        <v>1</v>
      </c>
      <c r="R204" s="192">
        <f>1.5*Q204</f>
        <v>1.5</v>
      </c>
      <c r="S204" s="34" t="s">
        <v>214</v>
      </c>
      <c r="T204" s="56"/>
    </row>
    <row r="205" spans="1:20" ht="13.5" customHeight="1" x14ac:dyDescent="0.2">
      <c r="A205" s="324"/>
      <c r="B205" s="324"/>
      <c r="C205" s="324"/>
      <c r="D205" s="324"/>
      <c r="E205" s="338"/>
      <c r="F205" s="332"/>
      <c r="G205" s="321"/>
      <c r="H205" s="117" t="s">
        <v>34</v>
      </c>
      <c r="I205" s="8" t="s">
        <v>229</v>
      </c>
      <c r="J205" s="117" t="s">
        <v>34</v>
      </c>
      <c r="K205" s="202" t="s">
        <v>34</v>
      </c>
      <c r="L205" s="116" t="s">
        <v>19</v>
      </c>
      <c r="M205" s="8" t="s">
        <v>229</v>
      </c>
      <c r="N205" s="89" t="s">
        <v>315</v>
      </c>
      <c r="O205" s="89">
        <v>1</v>
      </c>
      <c r="P205" s="185">
        <f t="shared" si="19"/>
        <v>1</v>
      </c>
      <c r="Q205" s="185">
        <f t="shared" si="20"/>
        <v>1</v>
      </c>
      <c r="R205" s="186">
        <f>1.2*Q205</f>
        <v>1.2</v>
      </c>
      <c r="S205" s="31" t="s">
        <v>214</v>
      </c>
      <c r="T205" s="55"/>
    </row>
    <row r="206" spans="1:20" ht="13.5" customHeight="1" x14ac:dyDescent="0.2">
      <c r="A206" s="324"/>
      <c r="B206" s="324"/>
      <c r="C206" s="324"/>
      <c r="D206" s="324"/>
      <c r="E206" s="338"/>
      <c r="F206" s="332"/>
      <c r="G206" s="321"/>
      <c r="H206" s="117" t="s">
        <v>34</v>
      </c>
      <c r="I206" s="7" t="s">
        <v>230</v>
      </c>
      <c r="J206" s="117" t="s">
        <v>34</v>
      </c>
      <c r="K206" s="202" t="s">
        <v>34</v>
      </c>
      <c r="L206" s="116" t="s">
        <v>20</v>
      </c>
      <c r="M206" s="7" t="s">
        <v>230</v>
      </c>
      <c r="N206" s="195" t="s">
        <v>350</v>
      </c>
      <c r="O206" s="92">
        <v>1</v>
      </c>
      <c r="P206" s="185">
        <f t="shared" si="19"/>
        <v>1</v>
      </c>
      <c r="Q206" s="185">
        <f t="shared" si="20"/>
        <v>1</v>
      </c>
      <c r="R206" s="185">
        <f t="shared" si="20"/>
        <v>1</v>
      </c>
      <c r="S206" s="31" t="s">
        <v>215</v>
      </c>
      <c r="T206" s="55"/>
    </row>
    <row r="207" spans="1:20" ht="13.5" customHeight="1" thickBot="1" x14ac:dyDescent="0.25">
      <c r="A207" s="324"/>
      <c r="B207" s="324"/>
      <c r="C207" s="324"/>
      <c r="D207" s="324"/>
      <c r="E207" s="338"/>
      <c r="F207" s="332"/>
      <c r="G207" s="321"/>
      <c r="H207" s="203" t="s">
        <v>34</v>
      </c>
      <c r="I207" s="27" t="s">
        <v>242</v>
      </c>
      <c r="J207" s="203" t="s">
        <v>34</v>
      </c>
      <c r="K207" s="204" t="s">
        <v>34</v>
      </c>
      <c r="L207" s="101" t="s">
        <v>21</v>
      </c>
      <c r="M207" s="27" t="s">
        <v>242</v>
      </c>
      <c r="N207" s="196" t="s">
        <v>34</v>
      </c>
      <c r="O207" s="193">
        <v>1</v>
      </c>
      <c r="P207" s="189">
        <f t="shared" si="19"/>
        <v>1</v>
      </c>
      <c r="Q207" s="189">
        <f t="shared" si="20"/>
        <v>1</v>
      </c>
      <c r="R207" s="189">
        <f t="shared" si="20"/>
        <v>1</v>
      </c>
      <c r="S207" s="35" t="s">
        <v>215</v>
      </c>
      <c r="T207" s="57"/>
    </row>
    <row r="208" spans="1:20" ht="13.5" customHeight="1" x14ac:dyDescent="0.2">
      <c r="A208" s="324"/>
      <c r="B208" s="324"/>
      <c r="C208" s="324"/>
      <c r="D208" s="324"/>
      <c r="E208" s="338"/>
      <c r="F208" s="332"/>
      <c r="G208" s="321"/>
      <c r="H208" s="323" t="s">
        <v>206</v>
      </c>
      <c r="I208" s="326" t="s">
        <v>278</v>
      </c>
      <c r="J208" s="323" t="s">
        <v>18</v>
      </c>
      <c r="K208" s="329">
        <f>J208*G199</f>
        <v>1</v>
      </c>
      <c r="L208" s="118" t="s">
        <v>18</v>
      </c>
      <c r="M208" s="48" t="s">
        <v>246</v>
      </c>
      <c r="N208" s="197" t="s">
        <v>351</v>
      </c>
      <c r="O208" s="187">
        <v>1</v>
      </c>
      <c r="P208" s="191">
        <f t="shared" si="19"/>
        <v>1</v>
      </c>
      <c r="Q208" s="191">
        <f t="shared" si="20"/>
        <v>1</v>
      </c>
      <c r="R208" s="191">
        <f t="shared" si="20"/>
        <v>1</v>
      </c>
      <c r="S208" s="46" t="s">
        <v>215</v>
      </c>
      <c r="T208" s="56"/>
    </row>
    <row r="209" spans="1:20" ht="13.5" customHeight="1" x14ac:dyDescent="0.2">
      <c r="A209" s="324"/>
      <c r="B209" s="324"/>
      <c r="C209" s="324"/>
      <c r="D209" s="324"/>
      <c r="E209" s="338"/>
      <c r="F209" s="332"/>
      <c r="G209" s="321"/>
      <c r="H209" s="324"/>
      <c r="I209" s="327"/>
      <c r="J209" s="324"/>
      <c r="K209" s="321"/>
      <c r="L209" s="116" t="s">
        <v>19</v>
      </c>
      <c r="M209" s="42" t="s">
        <v>247</v>
      </c>
      <c r="N209" s="197" t="s">
        <v>351</v>
      </c>
      <c r="O209" s="187">
        <v>2</v>
      </c>
      <c r="P209" s="185">
        <f t="shared" si="19"/>
        <v>2</v>
      </c>
      <c r="Q209" s="185">
        <f t="shared" si="20"/>
        <v>2</v>
      </c>
      <c r="R209" s="185">
        <f t="shared" si="20"/>
        <v>2</v>
      </c>
      <c r="S209" s="31" t="s">
        <v>215</v>
      </c>
      <c r="T209" s="55"/>
    </row>
    <row r="210" spans="1:20" ht="13.5" customHeight="1" x14ac:dyDescent="0.2">
      <c r="A210" s="324"/>
      <c r="B210" s="324"/>
      <c r="C210" s="324"/>
      <c r="D210" s="324"/>
      <c r="E210" s="338"/>
      <c r="F210" s="332"/>
      <c r="G210" s="321"/>
      <c r="H210" s="324"/>
      <c r="I210" s="327"/>
      <c r="J210" s="324"/>
      <c r="K210" s="321"/>
      <c r="L210" s="116" t="s">
        <v>20</v>
      </c>
      <c r="M210" s="42" t="s">
        <v>345</v>
      </c>
      <c r="N210" s="197" t="s">
        <v>351</v>
      </c>
      <c r="O210" s="187">
        <v>1</v>
      </c>
      <c r="P210" s="185">
        <f t="shared" si="19"/>
        <v>1</v>
      </c>
      <c r="Q210" s="185">
        <f t="shared" si="20"/>
        <v>1</v>
      </c>
      <c r="R210" s="185">
        <f t="shared" si="20"/>
        <v>1</v>
      </c>
      <c r="S210" s="31" t="s">
        <v>215</v>
      </c>
      <c r="T210" s="55"/>
    </row>
    <row r="211" spans="1:20" ht="13.5" customHeight="1" x14ac:dyDescent="0.2">
      <c r="A211" s="324"/>
      <c r="B211" s="324"/>
      <c r="C211" s="324"/>
      <c r="D211" s="324"/>
      <c r="E211" s="338"/>
      <c r="F211" s="332"/>
      <c r="G211" s="321"/>
      <c r="H211" s="324"/>
      <c r="I211" s="327"/>
      <c r="J211" s="324"/>
      <c r="K211" s="321"/>
      <c r="L211" s="116" t="s">
        <v>21</v>
      </c>
      <c r="M211" s="42" t="s">
        <v>248</v>
      </c>
      <c r="N211" s="197" t="s">
        <v>351</v>
      </c>
      <c r="O211" s="187">
        <v>1</v>
      </c>
      <c r="P211" s="185">
        <f t="shared" si="19"/>
        <v>1</v>
      </c>
      <c r="Q211" s="185">
        <f t="shared" si="20"/>
        <v>1</v>
      </c>
      <c r="R211" s="185">
        <f t="shared" si="20"/>
        <v>1</v>
      </c>
      <c r="S211" s="31" t="s">
        <v>215</v>
      </c>
      <c r="T211" s="55"/>
    </row>
    <row r="212" spans="1:20" ht="13.5" customHeight="1" x14ac:dyDescent="0.2">
      <c r="A212" s="324"/>
      <c r="B212" s="324"/>
      <c r="C212" s="324"/>
      <c r="D212" s="324"/>
      <c r="E212" s="338"/>
      <c r="F212" s="332"/>
      <c r="G212" s="321"/>
      <c r="H212" s="324"/>
      <c r="I212" s="327"/>
      <c r="J212" s="324"/>
      <c r="K212" s="321"/>
      <c r="L212" s="116" t="s">
        <v>22</v>
      </c>
      <c r="M212" s="42" t="s">
        <v>249</v>
      </c>
      <c r="N212" s="198" t="s">
        <v>122</v>
      </c>
      <c r="O212" s="89">
        <v>2</v>
      </c>
      <c r="P212" s="185">
        <f t="shared" si="19"/>
        <v>2</v>
      </c>
      <c r="Q212" s="185">
        <f t="shared" si="20"/>
        <v>2</v>
      </c>
      <c r="R212" s="185">
        <f t="shared" si="20"/>
        <v>2</v>
      </c>
      <c r="S212" s="31" t="s">
        <v>215</v>
      </c>
      <c r="T212" s="55"/>
    </row>
    <row r="213" spans="1:20" ht="13.5" customHeight="1" x14ac:dyDescent="0.2">
      <c r="A213" s="324"/>
      <c r="B213" s="324"/>
      <c r="C213" s="324"/>
      <c r="D213" s="324"/>
      <c r="E213" s="338"/>
      <c r="F213" s="332"/>
      <c r="G213" s="321"/>
      <c r="H213" s="324"/>
      <c r="I213" s="327"/>
      <c r="J213" s="324"/>
      <c r="K213" s="321"/>
      <c r="L213" s="194" t="s">
        <v>23</v>
      </c>
      <c r="M213" s="48" t="s">
        <v>250</v>
      </c>
      <c r="N213" s="197" t="s">
        <v>124</v>
      </c>
      <c r="O213" s="190">
        <v>1</v>
      </c>
      <c r="P213" s="185">
        <f t="shared" si="19"/>
        <v>1</v>
      </c>
      <c r="Q213" s="185">
        <f t="shared" si="20"/>
        <v>1</v>
      </c>
      <c r="R213" s="185">
        <f t="shared" si="20"/>
        <v>1</v>
      </c>
      <c r="S213" s="34" t="s">
        <v>215</v>
      </c>
      <c r="T213" s="55"/>
    </row>
    <row r="214" spans="1:20" ht="13.5" customHeight="1" x14ac:dyDescent="0.2">
      <c r="A214" s="324"/>
      <c r="B214" s="324"/>
      <c r="C214" s="324"/>
      <c r="D214" s="324"/>
      <c r="E214" s="338"/>
      <c r="F214" s="332"/>
      <c r="G214" s="321"/>
      <c r="H214" s="324"/>
      <c r="I214" s="327"/>
      <c r="J214" s="324"/>
      <c r="K214" s="321"/>
      <c r="L214" s="116" t="s">
        <v>24</v>
      </c>
      <c r="M214" s="42" t="s">
        <v>346</v>
      </c>
      <c r="N214" s="198" t="s">
        <v>38</v>
      </c>
      <c r="O214" s="89">
        <v>1</v>
      </c>
      <c r="P214" s="185">
        <f t="shared" si="19"/>
        <v>1</v>
      </c>
      <c r="Q214" s="185">
        <f t="shared" si="20"/>
        <v>1</v>
      </c>
      <c r="R214" s="185">
        <f t="shared" si="20"/>
        <v>1</v>
      </c>
      <c r="S214" s="31" t="s">
        <v>215</v>
      </c>
      <c r="T214" s="55"/>
    </row>
    <row r="215" spans="1:20" ht="13.5" customHeight="1" x14ac:dyDescent="0.2">
      <c r="A215" s="324"/>
      <c r="B215" s="324"/>
      <c r="C215" s="324"/>
      <c r="D215" s="324"/>
      <c r="E215" s="338"/>
      <c r="F215" s="332"/>
      <c r="G215" s="321"/>
      <c r="H215" s="324"/>
      <c r="I215" s="327"/>
      <c r="J215" s="324"/>
      <c r="K215" s="321"/>
      <c r="L215" s="116" t="s">
        <v>25</v>
      </c>
      <c r="M215" s="42" t="s">
        <v>347</v>
      </c>
      <c r="N215" s="198" t="s">
        <v>38</v>
      </c>
      <c r="O215" s="92">
        <v>1</v>
      </c>
      <c r="P215" s="185">
        <f t="shared" si="19"/>
        <v>1</v>
      </c>
      <c r="Q215" s="185">
        <f t="shared" si="20"/>
        <v>1</v>
      </c>
      <c r="R215" s="185">
        <f t="shared" si="20"/>
        <v>1</v>
      </c>
      <c r="S215" s="31" t="s">
        <v>215</v>
      </c>
      <c r="T215" s="55"/>
    </row>
    <row r="216" spans="1:20" ht="13.5" customHeight="1" x14ac:dyDescent="0.2">
      <c r="A216" s="325"/>
      <c r="B216" s="325"/>
      <c r="C216" s="325"/>
      <c r="D216" s="325"/>
      <c r="E216" s="338"/>
      <c r="F216" s="333"/>
      <c r="G216" s="330"/>
      <c r="H216" s="325"/>
      <c r="I216" s="328"/>
      <c r="J216" s="325"/>
      <c r="K216" s="330"/>
      <c r="L216" s="116" t="s">
        <v>26</v>
      </c>
      <c r="M216" s="49" t="s">
        <v>348</v>
      </c>
      <c r="N216" s="198" t="s">
        <v>351</v>
      </c>
      <c r="O216" s="92">
        <v>1</v>
      </c>
      <c r="P216" s="185">
        <f t="shared" si="19"/>
        <v>1</v>
      </c>
      <c r="Q216" s="185">
        <f t="shared" si="20"/>
        <v>1</v>
      </c>
      <c r="R216" s="185">
        <f t="shared" si="20"/>
        <v>1</v>
      </c>
      <c r="S216" s="31" t="s">
        <v>215</v>
      </c>
      <c r="T216" s="55"/>
    </row>
  </sheetData>
  <mergeCells count="116">
    <mergeCell ref="H81:H86"/>
    <mergeCell ref="I81:I86"/>
    <mergeCell ref="J81:J86"/>
    <mergeCell ref="K81:K86"/>
    <mergeCell ref="H109:H112"/>
    <mergeCell ref="I109:I112"/>
    <mergeCell ref="J109:J112"/>
    <mergeCell ref="K109:K112"/>
    <mergeCell ref="H113:H114"/>
    <mergeCell ref="I113:I114"/>
    <mergeCell ref="J113:J114"/>
    <mergeCell ref="K113:K114"/>
    <mergeCell ref="A136:A154"/>
    <mergeCell ref="B136:B154"/>
    <mergeCell ref="C136:C154"/>
    <mergeCell ref="E8:E18"/>
    <mergeCell ref="A6:C6"/>
    <mergeCell ref="A8:A18"/>
    <mergeCell ref="B8:B18"/>
    <mergeCell ref="C8:C18"/>
    <mergeCell ref="D8:D18"/>
    <mergeCell ref="A103:C103"/>
    <mergeCell ref="A105:A123"/>
    <mergeCell ref="B105:B123"/>
    <mergeCell ref="C105:C123"/>
    <mergeCell ref="D105:D123"/>
    <mergeCell ref="E105:E123"/>
    <mergeCell ref="A134:C134"/>
    <mergeCell ref="D136:D154"/>
    <mergeCell ref="E136:E154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  <mergeCell ref="J44:J59"/>
    <mergeCell ref="K44:K59"/>
    <mergeCell ref="A42:C42"/>
    <mergeCell ref="A44:A59"/>
    <mergeCell ref="B44:B59"/>
    <mergeCell ref="C44:C59"/>
    <mergeCell ref="D44:D59"/>
    <mergeCell ref="E44:E59"/>
    <mergeCell ref="F74:F86"/>
    <mergeCell ref="F44:F59"/>
    <mergeCell ref="G44:G59"/>
    <mergeCell ref="H44:H59"/>
    <mergeCell ref="I44:I59"/>
    <mergeCell ref="G74:G86"/>
    <mergeCell ref="A72:C72"/>
    <mergeCell ref="A74:A86"/>
    <mergeCell ref="C74:C86"/>
    <mergeCell ref="D74:D86"/>
    <mergeCell ref="E74:E86"/>
    <mergeCell ref="B74:B86"/>
    <mergeCell ref="H74:H79"/>
    <mergeCell ref="I74:I79"/>
    <mergeCell ref="J74:J79"/>
    <mergeCell ref="K74:K79"/>
    <mergeCell ref="H117:H118"/>
    <mergeCell ref="I117:I118"/>
    <mergeCell ref="J117:J118"/>
    <mergeCell ref="K117:K118"/>
    <mergeCell ref="J105:J108"/>
    <mergeCell ref="K105:K108"/>
    <mergeCell ref="H105:H108"/>
    <mergeCell ref="I105:I108"/>
    <mergeCell ref="F105:F123"/>
    <mergeCell ref="G105:G123"/>
    <mergeCell ref="H115:H116"/>
    <mergeCell ref="I115:I116"/>
    <mergeCell ref="J115:J116"/>
    <mergeCell ref="K115:K116"/>
    <mergeCell ref="A199:A216"/>
    <mergeCell ref="C199:C216"/>
    <mergeCell ref="D199:D216"/>
    <mergeCell ref="E199:E216"/>
    <mergeCell ref="F199:F216"/>
    <mergeCell ref="B199:B216"/>
    <mergeCell ref="J177:J178"/>
    <mergeCell ref="A197:C197"/>
    <mergeCell ref="A166:C166"/>
    <mergeCell ref="G199:G216"/>
    <mergeCell ref="D168:D184"/>
    <mergeCell ref="E168:E184"/>
    <mergeCell ref="F168:F184"/>
    <mergeCell ref="G168:G184"/>
    <mergeCell ref="H177:H178"/>
    <mergeCell ref="I177:I178"/>
    <mergeCell ref="A168:A184"/>
    <mergeCell ref="B168:B184"/>
    <mergeCell ref="C168:C184"/>
    <mergeCell ref="H179:H184"/>
    <mergeCell ref="I179:I184"/>
    <mergeCell ref="J179:J184"/>
    <mergeCell ref="K199:K203"/>
    <mergeCell ref="H208:H216"/>
    <mergeCell ref="I208:I216"/>
    <mergeCell ref="J208:J216"/>
    <mergeCell ref="K208:K216"/>
    <mergeCell ref="F136:F154"/>
    <mergeCell ref="H199:H203"/>
    <mergeCell ref="I199:I203"/>
    <mergeCell ref="J199:J203"/>
    <mergeCell ref="G136:G154"/>
    <mergeCell ref="H140:H154"/>
    <mergeCell ref="I140:I154"/>
    <mergeCell ref="J140:J154"/>
    <mergeCell ref="K140:K154"/>
    <mergeCell ref="K177:K178"/>
    <mergeCell ref="K179:K184"/>
  </mergeCells>
  <dataValidations count="3">
    <dataValidation type="list" allowBlank="1" showInputMessage="1" showErrorMessage="1" sqref="B8:B18 B44:B59 B199:B216 B105:B123 B136:B154 B168:B184 B74:B86">
      <formula1>$B$26:$B$29</formula1>
    </dataValidation>
    <dataValidation type="list" allowBlank="1" showInputMessage="1" showErrorMessage="1" sqref="E136:E154">
      <formula1>$D$26:$D$27</formula1>
    </dataValidation>
    <dataValidation type="list" allowBlank="1" showInputMessage="1" showErrorMessage="1" sqref="E105:E123">
      <formula1>$D$26:$D$27</formula1>
    </dataValidation>
  </dataValidation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 Rotary Filter</vt:lpstr>
      <vt:lpstr>ARF English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2019-01-20T09:07:02Z</dcterms:modified>
</cp:coreProperties>
</file>