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0" yWindow="0" windowWidth="4080" windowHeight="8415"/>
  </bookViews>
  <sheets>
    <sheet name="BOM" sheetId="3" r:id="rId1"/>
    <sheet name="Sheet1" sheetId="6" state="hidden" r:id="rId2"/>
  </sheets>
  <definedNames>
    <definedName name="_xlnm._FilterDatabase" localSheetId="0" hidden="1">BOM!$AE$4:$AM$203</definedName>
  </definedNames>
  <calcPr calcId="162913"/>
  <pivotCaches>
    <pivotCache cacheId="3" r:id="rId3"/>
  </pivotCaches>
</workbook>
</file>

<file path=xl/calcChain.xml><?xml version="1.0" encoding="utf-8"?>
<calcChain xmlns="http://schemas.openxmlformats.org/spreadsheetml/2006/main">
  <c r="J27" i="3" l="1"/>
  <c r="BS6" i="3" l="1"/>
  <c r="BS7" i="3"/>
  <c r="BS8" i="3"/>
  <c r="BS9" i="3"/>
  <c r="BS10" i="3"/>
  <c r="BS11" i="3"/>
  <c r="BS12" i="3"/>
  <c r="BS13" i="3"/>
  <c r="BS14" i="3"/>
  <c r="BS15" i="3"/>
  <c r="BS16" i="3"/>
  <c r="BS17" i="3"/>
  <c r="BS18" i="3"/>
  <c r="BS19" i="3"/>
  <c r="BS20" i="3"/>
  <c r="BS21" i="3"/>
  <c r="BS22" i="3"/>
  <c r="BS23" i="3"/>
  <c r="BS24" i="3"/>
  <c r="BS25" i="3"/>
  <c r="BS26" i="3"/>
  <c r="BS27" i="3"/>
  <c r="BS28" i="3"/>
  <c r="BS29" i="3"/>
  <c r="BS30" i="3"/>
  <c r="BS31" i="3"/>
  <c r="BS32" i="3"/>
  <c r="BS33" i="3"/>
  <c r="BS34" i="3"/>
  <c r="BS35" i="3"/>
  <c r="BS36" i="3"/>
  <c r="BS37" i="3"/>
  <c r="BS38" i="3"/>
  <c r="BS39" i="3"/>
  <c r="BS40" i="3"/>
  <c r="BS41" i="3"/>
  <c r="BS42" i="3"/>
  <c r="BS43" i="3"/>
  <c r="BS44" i="3"/>
  <c r="BS45" i="3"/>
  <c r="BS46" i="3"/>
  <c r="BS47" i="3"/>
  <c r="BS48" i="3"/>
  <c r="BS49" i="3"/>
  <c r="BS50" i="3"/>
  <c r="BS51" i="3"/>
  <c r="BS52" i="3"/>
  <c r="BS53" i="3"/>
  <c r="BS54" i="3"/>
  <c r="BS55" i="3"/>
  <c r="BS56" i="3"/>
  <c r="BS57" i="3"/>
  <c r="BS58" i="3"/>
  <c r="BS59" i="3"/>
  <c r="BS60" i="3"/>
  <c r="BS61" i="3"/>
  <c r="BS62" i="3"/>
  <c r="BS5" i="3"/>
  <c r="BS4" i="3"/>
  <c r="BR5" i="3"/>
  <c r="BR6" i="3"/>
  <c r="BR7" i="3"/>
  <c r="BR8" i="3"/>
  <c r="BR9" i="3"/>
  <c r="BR10" i="3"/>
  <c r="BR11" i="3"/>
  <c r="BR12" i="3"/>
  <c r="BR13" i="3"/>
  <c r="BR14" i="3"/>
  <c r="BR15" i="3"/>
  <c r="BR16" i="3"/>
  <c r="BR17" i="3"/>
  <c r="BR18" i="3"/>
  <c r="BR19" i="3"/>
  <c r="BR20" i="3"/>
  <c r="BR21" i="3"/>
  <c r="BR22" i="3"/>
  <c r="BR23" i="3"/>
  <c r="BR24" i="3"/>
  <c r="BR25" i="3"/>
  <c r="BR26" i="3"/>
  <c r="BR27" i="3"/>
  <c r="BR28" i="3"/>
  <c r="BR29" i="3"/>
  <c r="BR30" i="3"/>
  <c r="BR31" i="3"/>
  <c r="BR32" i="3"/>
  <c r="BR33" i="3"/>
  <c r="BR34" i="3"/>
  <c r="BR35" i="3"/>
  <c r="BR36" i="3"/>
  <c r="BR37" i="3"/>
  <c r="BR38" i="3"/>
  <c r="BR39" i="3"/>
  <c r="BR40" i="3"/>
  <c r="BR41" i="3"/>
  <c r="BR42" i="3"/>
  <c r="BR43" i="3"/>
  <c r="BR44" i="3"/>
  <c r="BR45" i="3"/>
  <c r="BR46" i="3"/>
  <c r="BR47" i="3"/>
  <c r="BR48" i="3"/>
  <c r="BR49" i="3"/>
  <c r="BR50" i="3"/>
  <c r="BR51" i="3"/>
  <c r="BR52" i="3"/>
  <c r="BR53" i="3"/>
  <c r="BR54" i="3"/>
  <c r="BR55" i="3"/>
  <c r="BR56" i="3"/>
  <c r="BR57" i="3"/>
  <c r="BR58" i="3"/>
  <c r="BR59" i="3"/>
  <c r="BR60" i="3"/>
  <c r="BR61" i="3"/>
  <c r="BR62" i="3"/>
  <c r="BR4" i="3"/>
  <c r="BQ5" i="3"/>
  <c r="BQ6" i="3"/>
  <c r="BQ7" i="3"/>
  <c r="BQ8" i="3"/>
  <c r="BQ9" i="3"/>
  <c r="BQ10" i="3"/>
  <c r="BQ11" i="3"/>
  <c r="BQ12" i="3"/>
  <c r="BQ13" i="3"/>
  <c r="BQ14" i="3"/>
  <c r="BQ15" i="3"/>
  <c r="BQ16" i="3"/>
  <c r="BQ17" i="3"/>
  <c r="BQ18" i="3"/>
  <c r="BQ19" i="3"/>
  <c r="BQ20" i="3"/>
  <c r="BQ21" i="3"/>
  <c r="BQ22" i="3"/>
  <c r="BQ23" i="3"/>
  <c r="BQ24" i="3"/>
  <c r="BQ25" i="3"/>
  <c r="BQ26" i="3"/>
  <c r="BQ27" i="3"/>
  <c r="BQ28" i="3"/>
  <c r="BQ29" i="3"/>
  <c r="BQ30" i="3"/>
  <c r="BQ31" i="3"/>
  <c r="BQ32" i="3"/>
  <c r="BQ33" i="3"/>
  <c r="BQ34" i="3"/>
  <c r="BQ35" i="3"/>
  <c r="BQ36" i="3"/>
  <c r="BQ37" i="3"/>
  <c r="BQ38" i="3"/>
  <c r="BQ39" i="3"/>
  <c r="BQ40" i="3"/>
  <c r="BQ41" i="3"/>
  <c r="BQ42" i="3"/>
  <c r="BQ43" i="3"/>
  <c r="BQ44" i="3"/>
  <c r="BQ45" i="3"/>
  <c r="BQ46" i="3"/>
  <c r="BQ47" i="3"/>
  <c r="BQ48" i="3"/>
  <c r="BQ49" i="3"/>
  <c r="BQ50" i="3"/>
  <c r="BQ51" i="3"/>
  <c r="BQ52" i="3"/>
  <c r="BQ53" i="3"/>
  <c r="BQ54" i="3"/>
  <c r="BQ55" i="3"/>
  <c r="BQ56" i="3"/>
  <c r="BQ57" i="3"/>
  <c r="BQ58" i="3"/>
  <c r="BQ59" i="3"/>
  <c r="BQ60" i="3"/>
  <c r="BQ61" i="3"/>
  <c r="BQ62" i="3"/>
  <c r="BQ4" i="3"/>
  <c r="BP5" i="3"/>
  <c r="BP6" i="3"/>
  <c r="BP7" i="3"/>
  <c r="BP8" i="3"/>
  <c r="BP9" i="3"/>
  <c r="BP10" i="3"/>
  <c r="BP11" i="3"/>
  <c r="BP12" i="3"/>
  <c r="BP13" i="3"/>
  <c r="BP14" i="3"/>
  <c r="BP15" i="3"/>
  <c r="BP16" i="3"/>
  <c r="BP17" i="3"/>
  <c r="BP18" i="3"/>
  <c r="BP19" i="3"/>
  <c r="BP20" i="3"/>
  <c r="BP21" i="3"/>
  <c r="BP22" i="3"/>
  <c r="BP23" i="3"/>
  <c r="BP24" i="3"/>
  <c r="BP25" i="3"/>
  <c r="BP26" i="3"/>
  <c r="BP27" i="3"/>
  <c r="BP28" i="3"/>
  <c r="BP29" i="3"/>
  <c r="BP30" i="3"/>
  <c r="BP31" i="3"/>
  <c r="BP32" i="3"/>
  <c r="BP33" i="3"/>
  <c r="BP34" i="3"/>
  <c r="BP35" i="3"/>
  <c r="BP36" i="3"/>
  <c r="BP37" i="3"/>
  <c r="BP38" i="3"/>
  <c r="BP39" i="3"/>
  <c r="BP40" i="3"/>
  <c r="BP41" i="3"/>
  <c r="BP42" i="3"/>
  <c r="BP43" i="3"/>
  <c r="BP44" i="3"/>
  <c r="BP45" i="3"/>
  <c r="BP46" i="3"/>
  <c r="BP47" i="3"/>
  <c r="BP48" i="3"/>
  <c r="BP49" i="3"/>
  <c r="BP50" i="3"/>
  <c r="BP51" i="3"/>
  <c r="BP52" i="3"/>
  <c r="BP53" i="3"/>
  <c r="BP54" i="3"/>
  <c r="BP55" i="3"/>
  <c r="BP56" i="3"/>
  <c r="BP57" i="3"/>
  <c r="BP58" i="3"/>
  <c r="BP59" i="3"/>
  <c r="BP60" i="3"/>
  <c r="BP61" i="3"/>
  <c r="BP62" i="3"/>
  <c r="BP4" i="3"/>
  <c r="BO5" i="3"/>
  <c r="BO6" i="3"/>
  <c r="BO7" i="3"/>
  <c r="BO8" i="3"/>
  <c r="BO9" i="3"/>
  <c r="BO10" i="3"/>
  <c r="BO11" i="3"/>
  <c r="BO12" i="3"/>
  <c r="BO13" i="3"/>
  <c r="BO14" i="3"/>
  <c r="BO15" i="3"/>
  <c r="BO16" i="3"/>
  <c r="BO17" i="3"/>
  <c r="BO18" i="3"/>
  <c r="BO19" i="3"/>
  <c r="BO20" i="3"/>
  <c r="BO21" i="3"/>
  <c r="BO22" i="3"/>
  <c r="BO23" i="3"/>
  <c r="BO24" i="3"/>
  <c r="BO25" i="3"/>
  <c r="BO26" i="3"/>
  <c r="BO27" i="3"/>
  <c r="BO28" i="3"/>
  <c r="BO29" i="3"/>
  <c r="BO30" i="3"/>
  <c r="BO31" i="3"/>
  <c r="BO32" i="3"/>
  <c r="BO33" i="3"/>
  <c r="BO34" i="3"/>
  <c r="BO35" i="3"/>
  <c r="BO36" i="3"/>
  <c r="BO37" i="3"/>
  <c r="BO38" i="3"/>
  <c r="BO39" i="3"/>
  <c r="BO40" i="3"/>
  <c r="BO41" i="3"/>
  <c r="BO42" i="3"/>
  <c r="BO43" i="3"/>
  <c r="BO44" i="3"/>
  <c r="BO45" i="3"/>
  <c r="BO46" i="3"/>
  <c r="BO47" i="3"/>
  <c r="BO48" i="3"/>
  <c r="BO49" i="3"/>
  <c r="BO50" i="3"/>
  <c r="BO51" i="3"/>
  <c r="BO52" i="3"/>
  <c r="BO53" i="3"/>
  <c r="BO54" i="3"/>
  <c r="BO55" i="3"/>
  <c r="BO56" i="3"/>
  <c r="BO57" i="3"/>
  <c r="BO58" i="3"/>
  <c r="BO59" i="3"/>
  <c r="BO60" i="3"/>
  <c r="BO61" i="3"/>
  <c r="BO62" i="3"/>
  <c r="BO4" i="3"/>
  <c r="AI194" i="3"/>
  <c r="Y194" i="3"/>
  <c r="L162" i="3" l="1"/>
  <c r="M162" i="3" s="1"/>
  <c r="L130" i="3"/>
  <c r="M130" i="3" s="1"/>
  <c r="BH9" i="3"/>
  <c r="BI9" i="3" s="1"/>
  <c r="BH10" i="3"/>
  <c r="BI10" i="3" s="1"/>
  <c r="BH11" i="3"/>
  <c r="BI11" i="3" s="1"/>
  <c r="BH12" i="3"/>
  <c r="BI12" i="3" s="1"/>
  <c r="BH13" i="3"/>
  <c r="BI13" i="3" s="1"/>
  <c r="BH14" i="3"/>
  <c r="BI14" i="3" s="1"/>
  <c r="BH15" i="3"/>
  <c r="BI15" i="3" s="1"/>
  <c r="BH16" i="3"/>
  <c r="BI16" i="3" s="1"/>
  <c r="BH17" i="3"/>
  <c r="BI17" i="3" s="1"/>
  <c r="BH18" i="3"/>
  <c r="BI18" i="3" s="1"/>
  <c r="BH19" i="3"/>
  <c r="BI19" i="3" s="1"/>
  <c r="BH20" i="3"/>
  <c r="BI20" i="3" s="1"/>
  <c r="BH21" i="3"/>
  <c r="BI21" i="3" s="1"/>
  <c r="BH22" i="3"/>
  <c r="BI22" i="3" s="1"/>
  <c r="BH23" i="3"/>
  <c r="BI23" i="3" s="1"/>
  <c r="BH24" i="3"/>
  <c r="BI24" i="3" s="1"/>
  <c r="BH25" i="3"/>
  <c r="BI25" i="3" s="1"/>
  <c r="BH26" i="3"/>
  <c r="BI26" i="3" s="1"/>
  <c r="BH27" i="3"/>
  <c r="BI27" i="3" s="1"/>
  <c r="BH28" i="3"/>
  <c r="BI28" i="3" s="1"/>
  <c r="BH29" i="3"/>
  <c r="BI29" i="3" s="1"/>
  <c r="BH30" i="3"/>
  <c r="BI30" i="3" s="1"/>
  <c r="BH31" i="3"/>
  <c r="BI31" i="3" s="1"/>
  <c r="BH32" i="3"/>
  <c r="BI32" i="3" s="1"/>
  <c r="BH33" i="3"/>
  <c r="BI33" i="3" s="1"/>
  <c r="BH34" i="3"/>
  <c r="BI34" i="3" s="1"/>
  <c r="BH35" i="3"/>
  <c r="BI35" i="3" s="1"/>
  <c r="BH36" i="3"/>
  <c r="BI36" i="3" s="1"/>
  <c r="BH37" i="3"/>
  <c r="BI37" i="3" s="1"/>
  <c r="BH38" i="3"/>
  <c r="BI38" i="3" s="1"/>
  <c r="BH39" i="3"/>
  <c r="BI39" i="3" s="1"/>
  <c r="BH40" i="3"/>
  <c r="BI40" i="3" s="1"/>
  <c r="BH41" i="3"/>
  <c r="BI41" i="3" s="1"/>
  <c r="BH42" i="3"/>
  <c r="BI42" i="3" s="1"/>
  <c r="BH43" i="3"/>
  <c r="BI43" i="3" s="1"/>
  <c r="BH44" i="3"/>
  <c r="BI44" i="3" s="1"/>
  <c r="BH45" i="3"/>
  <c r="BI45" i="3" s="1"/>
  <c r="BH46" i="3"/>
  <c r="BI46" i="3" s="1"/>
  <c r="BH47" i="3"/>
  <c r="BI47" i="3" s="1"/>
  <c r="BH48" i="3"/>
  <c r="BI48" i="3" s="1"/>
  <c r="BH49" i="3"/>
  <c r="BI49" i="3" s="1"/>
  <c r="BH50" i="3"/>
  <c r="BI50" i="3" s="1"/>
  <c r="BH51" i="3"/>
  <c r="BI51" i="3" s="1"/>
  <c r="BH52" i="3"/>
  <c r="BI52" i="3" s="1"/>
  <c r="BH53" i="3"/>
  <c r="BI53" i="3" s="1"/>
  <c r="BH54" i="3"/>
  <c r="BI54" i="3" s="1"/>
  <c r="BH55" i="3"/>
  <c r="BI55" i="3" s="1"/>
  <c r="BH56" i="3"/>
  <c r="BI56" i="3" s="1"/>
  <c r="BH57" i="3"/>
  <c r="BI57" i="3" s="1"/>
  <c r="BH58" i="3"/>
  <c r="BI58" i="3" s="1"/>
  <c r="BH59" i="3"/>
  <c r="BI59" i="3" s="1"/>
  <c r="BH60" i="3"/>
  <c r="BI60" i="3" s="1"/>
  <c r="BH61" i="3"/>
  <c r="BI61" i="3" s="1"/>
  <c r="BH62" i="3"/>
  <c r="BI62" i="3" s="1"/>
  <c r="BH63" i="3"/>
  <c r="BI63" i="3" s="1"/>
  <c r="BH64" i="3"/>
  <c r="BI64" i="3" s="1"/>
  <c r="BH65" i="3"/>
  <c r="BI65" i="3" s="1"/>
  <c r="BH66" i="3"/>
  <c r="BI66" i="3" s="1"/>
  <c r="BH67" i="3"/>
  <c r="BI67" i="3" s="1"/>
  <c r="BH68" i="3"/>
  <c r="BI68" i="3" s="1"/>
  <c r="BH69" i="3"/>
  <c r="BI69" i="3" s="1"/>
  <c r="BH70" i="3"/>
  <c r="BI70" i="3" s="1"/>
  <c r="BH71" i="3"/>
  <c r="BI71" i="3" s="1"/>
  <c r="BH72" i="3"/>
  <c r="BI72" i="3" s="1"/>
  <c r="BH73" i="3"/>
  <c r="BI73" i="3" s="1"/>
  <c r="BH74" i="3"/>
  <c r="BI74" i="3" s="1"/>
  <c r="BH75" i="3"/>
  <c r="BI75" i="3" s="1"/>
  <c r="BH76" i="3"/>
  <c r="BI76" i="3" s="1"/>
  <c r="BH77" i="3"/>
  <c r="BI77" i="3" s="1"/>
  <c r="BH78" i="3"/>
  <c r="BI78" i="3" s="1"/>
  <c r="BH79" i="3"/>
  <c r="BI79" i="3" s="1"/>
  <c r="BH80" i="3"/>
  <c r="BI80" i="3" s="1"/>
  <c r="BH81" i="3"/>
  <c r="BI81" i="3" s="1"/>
  <c r="BH82" i="3"/>
  <c r="BI82" i="3" s="1"/>
  <c r="BH83" i="3"/>
  <c r="BI83" i="3" s="1"/>
  <c r="BH84" i="3"/>
  <c r="BI84" i="3" s="1"/>
  <c r="BH85" i="3"/>
  <c r="BI85" i="3" s="1"/>
  <c r="BH86" i="3"/>
  <c r="BI86" i="3" s="1"/>
  <c r="BH87" i="3"/>
  <c r="BI87" i="3" s="1"/>
  <c r="BH88" i="3"/>
  <c r="BI88" i="3" s="1"/>
  <c r="BH89" i="3"/>
  <c r="BI89" i="3" s="1"/>
  <c r="BH90" i="3"/>
  <c r="BI90" i="3" s="1"/>
  <c r="BH91" i="3"/>
  <c r="BI91" i="3" s="1"/>
  <c r="BH92" i="3"/>
  <c r="BI92" i="3" s="1"/>
  <c r="BH93" i="3"/>
  <c r="BI93" i="3" s="1"/>
  <c r="BH94" i="3"/>
  <c r="BI94" i="3" s="1"/>
  <c r="BH95" i="3"/>
  <c r="BI95" i="3" s="1"/>
  <c r="BH96" i="3"/>
  <c r="BI96" i="3" s="1"/>
  <c r="BH97" i="3"/>
  <c r="BI97" i="3" s="1"/>
  <c r="BH98" i="3"/>
  <c r="BI98" i="3" s="1"/>
  <c r="BH99" i="3"/>
  <c r="BI99" i="3" s="1"/>
  <c r="BH100" i="3"/>
  <c r="BI100" i="3" s="1"/>
  <c r="BH101" i="3"/>
  <c r="BI101" i="3" s="1"/>
  <c r="BH102" i="3"/>
  <c r="BI102" i="3" s="1"/>
  <c r="BH103" i="3"/>
  <c r="BI103" i="3" s="1"/>
  <c r="BH104" i="3"/>
  <c r="BI104" i="3" s="1"/>
  <c r="BH105" i="3"/>
  <c r="BI105" i="3" s="1"/>
  <c r="BH106" i="3"/>
  <c r="BI106" i="3" s="1"/>
  <c r="BH107" i="3"/>
  <c r="BI107" i="3" s="1"/>
  <c r="BH108" i="3"/>
  <c r="BI108" i="3" s="1"/>
  <c r="BH109" i="3"/>
  <c r="BI109" i="3" s="1"/>
  <c r="BH110" i="3"/>
  <c r="BI110" i="3" s="1"/>
  <c r="BH111" i="3"/>
  <c r="BI111" i="3" s="1"/>
  <c r="BH112" i="3"/>
  <c r="BI112" i="3" s="1"/>
  <c r="BH113" i="3"/>
  <c r="BI113" i="3" s="1"/>
  <c r="BH114" i="3"/>
  <c r="BI114" i="3" s="1"/>
  <c r="BH115" i="3"/>
  <c r="BI115" i="3" s="1"/>
  <c r="BH116" i="3"/>
  <c r="BI116" i="3" s="1"/>
  <c r="BH117" i="3"/>
  <c r="BI117" i="3" s="1"/>
  <c r="BH118" i="3"/>
  <c r="BI118" i="3" s="1"/>
  <c r="BH119" i="3"/>
  <c r="BI119" i="3" s="1"/>
  <c r="BH120" i="3"/>
  <c r="BI120" i="3" s="1"/>
  <c r="BH121" i="3"/>
  <c r="BI121" i="3" s="1"/>
  <c r="BH122" i="3"/>
  <c r="BI122" i="3" s="1"/>
  <c r="BH123" i="3"/>
  <c r="BI123" i="3" s="1"/>
  <c r="BH124" i="3"/>
  <c r="BI124" i="3" s="1"/>
  <c r="BH125" i="3"/>
  <c r="BI125" i="3" s="1"/>
  <c r="BH126" i="3"/>
  <c r="BI126" i="3" s="1"/>
  <c r="BH127" i="3"/>
  <c r="BI127" i="3" s="1"/>
  <c r="BH128" i="3"/>
  <c r="BI128" i="3" s="1"/>
  <c r="BH129" i="3"/>
  <c r="BI129" i="3" s="1"/>
  <c r="BH130" i="3"/>
  <c r="BI130" i="3" s="1"/>
  <c r="BH131" i="3"/>
  <c r="BI131" i="3" s="1"/>
  <c r="BH132" i="3"/>
  <c r="BI132" i="3" s="1"/>
  <c r="BH133" i="3"/>
  <c r="BI133" i="3" s="1"/>
  <c r="BH134" i="3"/>
  <c r="BI134" i="3" s="1"/>
  <c r="BH135" i="3"/>
  <c r="BI135" i="3" s="1"/>
  <c r="BH136" i="3"/>
  <c r="BI136" i="3" s="1"/>
  <c r="BH137" i="3"/>
  <c r="BI137" i="3" s="1"/>
  <c r="BH138" i="3"/>
  <c r="BI138" i="3" s="1"/>
  <c r="BH139" i="3"/>
  <c r="BI139" i="3" s="1"/>
  <c r="BH140" i="3"/>
  <c r="BI140" i="3" s="1"/>
  <c r="BH141" i="3"/>
  <c r="BI141" i="3" s="1"/>
  <c r="BH142" i="3"/>
  <c r="BI142" i="3" s="1"/>
  <c r="BH143" i="3"/>
  <c r="BI143" i="3" s="1"/>
  <c r="BH144" i="3"/>
  <c r="BI144" i="3" s="1"/>
  <c r="BH145" i="3"/>
  <c r="BI145" i="3" s="1"/>
  <c r="BH146" i="3"/>
  <c r="BI146" i="3" s="1"/>
  <c r="BH147" i="3"/>
  <c r="BI147" i="3" s="1"/>
  <c r="BH148" i="3"/>
  <c r="BI148" i="3" s="1"/>
  <c r="BH149" i="3"/>
  <c r="BI149" i="3" s="1"/>
  <c r="BH150" i="3"/>
  <c r="BI150" i="3" s="1"/>
  <c r="BH151" i="3"/>
  <c r="BI151" i="3" s="1"/>
  <c r="BH152" i="3"/>
  <c r="BI152" i="3" s="1"/>
  <c r="BH153" i="3"/>
  <c r="BI153" i="3" s="1"/>
  <c r="BH154" i="3"/>
  <c r="BI154" i="3" s="1"/>
  <c r="BH155" i="3"/>
  <c r="BI155" i="3" s="1"/>
  <c r="BH156" i="3"/>
  <c r="BI156" i="3" s="1"/>
  <c r="BH157" i="3"/>
  <c r="BI157" i="3" s="1"/>
  <c r="BH158" i="3"/>
  <c r="BI158" i="3" s="1"/>
  <c r="BH159" i="3"/>
  <c r="BI159" i="3" s="1"/>
  <c r="BH160" i="3"/>
  <c r="BI160" i="3" s="1"/>
  <c r="BH161" i="3"/>
  <c r="BI161" i="3" s="1"/>
  <c r="BH162" i="3"/>
  <c r="BI162" i="3" s="1"/>
  <c r="BH163" i="3"/>
  <c r="BI163" i="3" s="1"/>
  <c r="BH164" i="3"/>
  <c r="BI164" i="3" s="1"/>
  <c r="BH165" i="3"/>
  <c r="BI165" i="3" s="1"/>
  <c r="BH166" i="3"/>
  <c r="BI166" i="3" s="1"/>
  <c r="BH167" i="3"/>
  <c r="BI167" i="3" s="1"/>
  <c r="BH168" i="3"/>
  <c r="BI168" i="3" s="1"/>
  <c r="BH169" i="3"/>
  <c r="BI169" i="3" s="1"/>
  <c r="BH170" i="3"/>
  <c r="BI170" i="3" s="1"/>
  <c r="BH171" i="3"/>
  <c r="BI171" i="3" s="1"/>
  <c r="BH172" i="3"/>
  <c r="BI172" i="3" s="1"/>
  <c r="BH173" i="3"/>
  <c r="BI173" i="3" s="1"/>
  <c r="BH174" i="3"/>
  <c r="BI174" i="3" s="1"/>
  <c r="BH175" i="3"/>
  <c r="BI175" i="3" s="1"/>
  <c r="BH176" i="3"/>
  <c r="BI176" i="3" s="1"/>
  <c r="BH177" i="3"/>
  <c r="BI177" i="3" s="1"/>
  <c r="BH178" i="3"/>
  <c r="BI178" i="3" s="1"/>
  <c r="BH179" i="3"/>
  <c r="BI179" i="3" s="1"/>
  <c r="BH180" i="3"/>
  <c r="BI180" i="3" s="1"/>
  <c r="BH181" i="3"/>
  <c r="BI181" i="3" s="1"/>
  <c r="BH182" i="3"/>
  <c r="BI182" i="3" s="1"/>
  <c r="BH183" i="3"/>
  <c r="BI183" i="3" s="1"/>
  <c r="BH184" i="3"/>
  <c r="BI184" i="3" s="1"/>
  <c r="BH185" i="3"/>
  <c r="BI185" i="3" s="1"/>
  <c r="BH186" i="3"/>
  <c r="BI186" i="3" s="1"/>
  <c r="BH187" i="3"/>
  <c r="BI187" i="3" s="1"/>
  <c r="BH188" i="3"/>
  <c r="BI188" i="3" s="1"/>
  <c r="BH189" i="3"/>
  <c r="BI189" i="3" s="1"/>
  <c r="BH190" i="3"/>
  <c r="BI190" i="3" s="1"/>
  <c r="BH191" i="3"/>
  <c r="BI191" i="3" s="1"/>
  <c r="BH192" i="3"/>
  <c r="BI192" i="3" s="1"/>
  <c r="BH193" i="3"/>
  <c r="BI193" i="3" s="1"/>
  <c r="BH194" i="3"/>
  <c r="BI194" i="3" s="1"/>
  <c r="BH195" i="3"/>
  <c r="BI195" i="3" s="1"/>
  <c r="BH196" i="3"/>
  <c r="BI196" i="3" s="1"/>
  <c r="BH197" i="3"/>
  <c r="BI197" i="3" s="1"/>
  <c r="BH198" i="3"/>
  <c r="BI198" i="3" s="1"/>
  <c r="BH199" i="3"/>
  <c r="BI199" i="3" s="1"/>
  <c r="BH200" i="3"/>
  <c r="BI200" i="3" s="1"/>
  <c r="BH201" i="3"/>
  <c r="BI201" i="3" s="1"/>
  <c r="BH202" i="3"/>
  <c r="BI202" i="3" s="1"/>
  <c r="BH203" i="3"/>
  <c r="BI203" i="3" s="1"/>
  <c r="BE9" i="3"/>
  <c r="BE10" i="3"/>
  <c r="BE11" i="3"/>
  <c r="BE12" i="3"/>
  <c r="BE13" i="3"/>
  <c r="BE14" i="3"/>
  <c r="BE15" i="3"/>
  <c r="BE16" i="3"/>
  <c r="BE17" i="3"/>
  <c r="BE18" i="3"/>
  <c r="BE19" i="3"/>
  <c r="BE20" i="3"/>
  <c r="BE21" i="3"/>
  <c r="BE22" i="3"/>
  <c r="BE23" i="3"/>
  <c r="BE24" i="3"/>
  <c r="BE25" i="3"/>
  <c r="BE26" i="3"/>
  <c r="BE27" i="3"/>
  <c r="BE28" i="3"/>
  <c r="BE29" i="3"/>
  <c r="BE30" i="3"/>
  <c r="BE31" i="3"/>
  <c r="BE32" i="3"/>
  <c r="BE33" i="3"/>
  <c r="BE34" i="3"/>
  <c r="BE35" i="3"/>
  <c r="BE36" i="3"/>
  <c r="BE37" i="3"/>
  <c r="BE38" i="3"/>
  <c r="BE39" i="3"/>
  <c r="BE40" i="3"/>
  <c r="BE41" i="3"/>
  <c r="BE42" i="3"/>
  <c r="BE43" i="3"/>
  <c r="BE44" i="3"/>
  <c r="BE45" i="3"/>
  <c r="BE46" i="3"/>
  <c r="BE47" i="3"/>
  <c r="BE48" i="3"/>
  <c r="BE49" i="3"/>
  <c r="BE50" i="3"/>
  <c r="BE51" i="3"/>
  <c r="BE52" i="3"/>
  <c r="BE53" i="3"/>
  <c r="BE54" i="3"/>
  <c r="BE55" i="3"/>
  <c r="BE56" i="3"/>
  <c r="BE57" i="3"/>
  <c r="BE58" i="3"/>
  <c r="BE59" i="3"/>
  <c r="BE60" i="3"/>
  <c r="BE61" i="3"/>
  <c r="BE62" i="3"/>
  <c r="BE63" i="3"/>
  <c r="BE64" i="3"/>
  <c r="BE65" i="3"/>
  <c r="BE66" i="3"/>
  <c r="BE67" i="3"/>
  <c r="BE68" i="3"/>
  <c r="BE69" i="3"/>
  <c r="BE70" i="3"/>
  <c r="BE71" i="3"/>
  <c r="BE72" i="3"/>
  <c r="BE73" i="3"/>
  <c r="BE74" i="3"/>
  <c r="BE75" i="3"/>
  <c r="BE76" i="3"/>
  <c r="BE77" i="3"/>
  <c r="BE78" i="3"/>
  <c r="BE79" i="3"/>
  <c r="BE80" i="3"/>
  <c r="BE81" i="3"/>
  <c r="BE82" i="3"/>
  <c r="BE83" i="3"/>
  <c r="BE84" i="3"/>
  <c r="BE85" i="3"/>
  <c r="BE86" i="3"/>
  <c r="BE87" i="3"/>
  <c r="BE88" i="3"/>
  <c r="BE89" i="3"/>
  <c r="BE90" i="3"/>
  <c r="BE91" i="3"/>
  <c r="BE92" i="3"/>
  <c r="BE93" i="3"/>
  <c r="BE94" i="3"/>
  <c r="BE95" i="3"/>
  <c r="BE96" i="3"/>
  <c r="BE97" i="3"/>
  <c r="BE98" i="3"/>
  <c r="BE99" i="3"/>
  <c r="BE100" i="3"/>
  <c r="BE101" i="3"/>
  <c r="BE102" i="3"/>
  <c r="BE103" i="3"/>
  <c r="BE104" i="3"/>
  <c r="BE105" i="3"/>
  <c r="BE106" i="3"/>
  <c r="BE107" i="3"/>
  <c r="BE108" i="3"/>
  <c r="BE109" i="3"/>
  <c r="BE110" i="3"/>
  <c r="BE111" i="3"/>
  <c r="BE112" i="3"/>
  <c r="BE113" i="3"/>
  <c r="BE114" i="3"/>
  <c r="BE115" i="3"/>
  <c r="BE116" i="3"/>
  <c r="BE117" i="3"/>
  <c r="BE118" i="3"/>
  <c r="BE119" i="3"/>
  <c r="BE120" i="3"/>
  <c r="BE121" i="3"/>
  <c r="BE122" i="3"/>
  <c r="BE123" i="3"/>
  <c r="BE124" i="3"/>
  <c r="BE125" i="3"/>
  <c r="BE126" i="3"/>
  <c r="BE127" i="3"/>
  <c r="BE128" i="3"/>
  <c r="BE129" i="3"/>
  <c r="BE130" i="3"/>
  <c r="BE131" i="3"/>
  <c r="BE132" i="3"/>
  <c r="BE133" i="3"/>
  <c r="BE134" i="3"/>
  <c r="BE135" i="3"/>
  <c r="BE136" i="3"/>
  <c r="BE137" i="3"/>
  <c r="BE138" i="3"/>
  <c r="BE139" i="3"/>
  <c r="BE140" i="3"/>
  <c r="BE141" i="3"/>
  <c r="BE142" i="3"/>
  <c r="BE143" i="3"/>
  <c r="BE144" i="3"/>
  <c r="BE145" i="3"/>
  <c r="BE146" i="3"/>
  <c r="BE147" i="3"/>
  <c r="BE148" i="3"/>
  <c r="BE149" i="3"/>
  <c r="BE150" i="3"/>
  <c r="BE151" i="3"/>
  <c r="BE152" i="3"/>
  <c r="BE153" i="3"/>
  <c r="BE154" i="3"/>
  <c r="BE155" i="3"/>
  <c r="BE156" i="3"/>
  <c r="BE157" i="3"/>
  <c r="BE158" i="3"/>
  <c r="BE159" i="3"/>
  <c r="BE160" i="3"/>
  <c r="BE161" i="3"/>
  <c r="BE162" i="3"/>
  <c r="BE163" i="3"/>
  <c r="BE164" i="3"/>
  <c r="BE165" i="3"/>
  <c r="BE166" i="3"/>
  <c r="BE167" i="3"/>
  <c r="BE168" i="3"/>
  <c r="BE169" i="3"/>
  <c r="BE170" i="3"/>
  <c r="BE171" i="3"/>
  <c r="BE172" i="3"/>
  <c r="BE173" i="3"/>
  <c r="BE174" i="3"/>
  <c r="BE175" i="3"/>
  <c r="BE176" i="3"/>
  <c r="BE177" i="3"/>
  <c r="BE178" i="3"/>
  <c r="BE179" i="3"/>
  <c r="BE180" i="3"/>
  <c r="BE181" i="3"/>
  <c r="BE182" i="3"/>
  <c r="BE183" i="3"/>
  <c r="BE184" i="3"/>
  <c r="BE185" i="3"/>
  <c r="BE186" i="3"/>
  <c r="BE187" i="3"/>
  <c r="BE188" i="3"/>
  <c r="BE189" i="3"/>
  <c r="BE190" i="3"/>
  <c r="BE191" i="3"/>
  <c r="BE192" i="3"/>
  <c r="BE193" i="3"/>
  <c r="BE194" i="3"/>
  <c r="BE195" i="3"/>
  <c r="BE196" i="3"/>
  <c r="BE197" i="3"/>
  <c r="BE198" i="3"/>
  <c r="BE199" i="3"/>
  <c r="BE200" i="3"/>
  <c r="BE201" i="3"/>
  <c r="BE202" i="3"/>
  <c r="BE203" i="3"/>
  <c r="BE8" i="3"/>
  <c r="BD9" i="3"/>
  <c r="BD10" i="3"/>
  <c r="BD11" i="3"/>
  <c r="BD12" i="3"/>
  <c r="BD13" i="3"/>
  <c r="BD14" i="3"/>
  <c r="BD15" i="3"/>
  <c r="BD16" i="3"/>
  <c r="BD17" i="3"/>
  <c r="BD18" i="3"/>
  <c r="BD19" i="3"/>
  <c r="BD20" i="3"/>
  <c r="BD21" i="3"/>
  <c r="BD22" i="3"/>
  <c r="BD23" i="3"/>
  <c r="BD24" i="3"/>
  <c r="BD25" i="3"/>
  <c r="BD26" i="3"/>
  <c r="BD27" i="3"/>
  <c r="BD28" i="3"/>
  <c r="BD29" i="3"/>
  <c r="BD30" i="3"/>
  <c r="BD31" i="3"/>
  <c r="BD32" i="3"/>
  <c r="BD33" i="3"/>
  <c r="BD34" i="3"/>
  <c r="BD35" i="3"/>
  <c r="BD36" i="3"/>
  <c r="BD37" i="3"/>
  <c r="BD38" i="3"/>
  <c r="BD39" i="3"/>
  <c r="BD40" i="3"/>
  <c r="BD41" i="3"/>
  <c r="BD42" i="3"/>
  <c r="BD43" i="3"/>
  <c r="BD44" i="3"/>
  <c r="BD45" i="3"/>
  <c r="BD46" i="3"/>
  <c r="BD47" i="3"/>
  <c r="BD48" i="3"/>
  <c r="BD49" i="3"/>
  <c r="BD50" i="3"/>
  <c r="BD51" i="3"/>
  <c r="BD52" i="3"/>
  <c r="BD53" i="3"/>
  <c r="BD54" i="3"/>
  <c r="BD55" i="3"/>
  <c r="BD56" i="3"/>
  <c r="BD57" i="3"/>
  <c r="BD58" i="3"/>
  <c r="BD59" i="3"/>
  <c r="BD60" i="3"/>
  <c r="BD61" i="3"/>
  <c r="BD62" i="3"/>
  <c r="BD63" i="3"/>
  <c r="BD64" i="3"/>
  <c r="BD65" i="3"/>
  <c r="BD66" i="3"/>
  <c r="BD67" i="3"/>
  <c r="BD68" i="3"/>
  <c r="BD69" i="3"/>
  <c r="BD70" i="3"/>
  <c r="BD71" i="3"/>
  <c r="BD72" i="3"/>
  <c r="BD73" i="3"/>
  <c r="BD74" i="3"/>
  <c r="BD75" i="3"/>
  <c r="BD76" i="3"/>
  <c r="BD77" i="3"/>
  <c r="BD78" i="3"/>
  <c r="BD79" i="3"/>
  <c r="BD80" i="3"/>
  <c r="BD81" i="3"/>
  <c r="BD82" i="3"/>
  <c r="BD83" i="3"/>
  <c r="BD84" i="3"/>
  <c r="BD85" i="3"/>
  <c r="BD86" i="3"/>
  <c r="BD87" i="3"/>
  <c r="BD88" i="3"/>
  <c r="BD89" i="3"/>
  <c r="BD90" i="3"/>
  <c r="BD91" i="3"/>
  <c r="BD92" i="3"/>
  <c r="BD93" i="3"/>
  <c r="BD94" i="3"/>
  <c r="BD95" i="3"/>
  <c r="BD96" i="3"/>
  <c r="BD97" i="3"/>
  <c r="BD98" i="3"/>
  <c r="BD99" i="3"/>
  <c r="BD100" i="3"/>
  <c r="BD101" i="3"/>
  <c r="BD102" i="3"/>
  <c r="BD103" i="3"/>
  <c r="BD104" i="3"/>
  <c r="BD105" i="3"/>
  <c r="BD106" i="3"/>
  <c r="BD107" i="3"/>
  <c r="BD108" i="3"/>
  <c r="BD109" i="3"/>
  <c r="BD110" i="3"/>
  <c r="BD111" i="3"/>
  <c r="BD112" i="3"/>
  <c r="BD113" i="3"/>
  <c r="BD114" i="3"/>
  <c r="BD115" i="3"/>
  <c r="BD116" i="3"/>
  <c r="BD117" i="3"/>
  <c r="BD118" i="3"/>
  <c r="BD119" i="3"/>
  <c r="BD120" i="3"/>
  <c r="BD121" i="3"/>
  <c r="BD122" i="3"/>
  <c r="BD123" i="3"/>
  <c r="BD124" i="3"/>
  <c r="BD125" i="3"/>
  <c r="BD126" i="3"/>
  <c r="BD127" i="3"/>
  <c r="BD128" i="3"/>
  <c r="BD129" i="3"/>
  <c r="BD130" i="3"/>
  <c r="BD131" i="3"/>
  <c r="BD132" i="3"/>
  <c r="BD133" i="3"/>
  <c r="BD134" i="3"/>
  <c r="BD135" i="3"/>
  <c r="BD136" i="3"/>
  <c r="BD137" i="3"/>
  <c r="BD138" i="3"/>
  <c r="BD139" i="3"/>
  <c r="BD140" i="3"/>
  <c r="BD141" i="3"/>
  <c r="BD142" i="3"/>
  <c r="BD143" i="3"/>
  <c r="BD144" i="3"/>
  <c r="BD145" i="3"/>
  <c r="BD146" i="3"/>
  <c r="BD147" i="3"/>
  <c r="BD148" i="3"/>
  <c r="BD149" i="3"/>
  <c r="BD150" i="3"/>
  <c r="BD151" i="3"/>
  <c r="BD152" i="3"/>
  <c r="BD153" i="3"/>
  <c r="BD154" i="3"/>
  <c r="BD155" i="3"/>
  <c r="BD156" i="3"/>
  <c r="BD157" i="3"/>
  <c r="BD158" i="3"/>
  <c r="BD159" i="3"/>
  <c r="BD160" i="3"/>
  <c r="BD161" i="3"/>
  <c r="BD162" i="3"/>
  <c r="BD163" i="3"/>
  <c r="BD164" i="3"/>
  <c r="BD165" i="3"/>
  <c r="BD166" i="3"/>
  <c r="BD167" i="3"/>
  <c r="BD168" i="3"/>
  <c r="BD169" i="3"/>
  <c r="BD170" i="3"/>
  <c r="BD171" i="3"/>
  <c r="BD172" i="3"/>
  <c r="BD173" i="3"/>
  <c r="BD174" i="3"/>
  <c r="BD175" i="3"/>
  <c r="BD176" i="3"/>
  <c r="BD177" i="3"/>
  <c r="BD178" i="3"/>
  <c r="BD179" i="3"/>
  <c r="BD180" i="3"/>
  <c r="BD181" i="3"/>
  <c r="BD182" i="3"/>
  <c r="BD183" i="3"/>
  <c r="BD184" i="3"/>
  <c r="BD185" i="3"/>
  <c r="BD186" i="3"/>
  <c r="BD187" i="3"/>
  <c r="BD188" i="3"/>
  <c r="BD189" i="3"/>
  <c r="BD190" i="3"/>
  <c r="BD191" i="3"/>
  <c r="BD192" i="3"/>
  <c r="BD193" i="3"/>
  <c r="BD194" i="3"/>
  <c r="BD195" i="3"/>
  <c r="BD196" i="3"/>
  <c r="BD197" i="3"/>
  <c r="BD198" i="3"/>
  <c r="BD199" i="3"/>
  <c r="BD200" i="3"/>
  <c r="BD201" i="3"/>
  <c r="BD202" i="3"/>
  <c r="BD203" i="3"/>
  <c r="BD8" i="3"/>
  <c r="AL10" i="3" l="1"/>
  <c r="AL11" i="3"/>
  <c r="AL12" i="3"/>
  <c r="AL13" i="3"/>
  <c r="AL14" i="3"/>
  <c r="AL15" i="3"/>
  <c r="AL16" i="3"/>
  <c r="AL17" i="3"/>
  <c r="AL18" i="3"/>
  <c r="AL19" i="3"/>
  <c r="AL20" i="3"/>
  <c r="AL21" i="3"/>
  <c r="AL22" i="3"/>
  <c r="AL23" i="3"/>
  <c r="AL24" i="3"/>
  <c r="AL25" i="3"/>
  <c r="AL26" i="3"/>
  <c r="AL27" i="3"/>
  <c r="AL28" i="3"/>
  <c r="AL29" i="3"/>
  <c r="AL30" i="3"/>
  <c r="AL31" i="3"/>
  <c r="AL32" i="3"/>
  <c r="AL33" i="3"/>
  <c r="AL34" i="3"/>
  <c r="AL35" i="3"/>
  <c r="AL36" i="3"/>
  <c r="AL37" i="3"/>
  <c r="AL38" i="3"/>
  <c r="AL39" i="3"/>
  <c r="AL40" i="3"/>
  <c r="AL41" i="3"/>
  <c r="AL42" i="3"/>
  <c r="AL43" i="3"/>
  <c r="AL44" i="3"/>
  <c r="AL45" i="3"/>
  <c r="AL46" i="3"/>
  <c r="AL47" i="3"/>
  <c r="AL48" i="3"/>
  <c r="AL49" i="3"/>
  <c r="AL50" i="3"/>
  <c r="AL51" i="3"/>
  <c r="AL52" i="3"/>
  <c r="AL53" i="3"/>
  <c r="AL54" i="3"/>
  <c r="AL55" i="3"/>
  <c r="AL56" i="3"/>
  <c r="AL57" i="3"/>
  <c r="AL58" i="3"/>
  <c r="AL59" i="3"/>
  <c r="AL60" i="3"/>
  <c r="AL61" i="3"/>
  <c r="AL62" i="3"/>
  <c r="AL63" i="3"/>
  <c r="AL64" i="3"/>
  <c r="AL65" i="3"/>
  <c r="AL66" i="3"/>
  <c r="AL67" i="3"/>
  <c r="AL68" i="3"/>
  <c r="AL69" i="3"/>
  <c r="AL70" i="3"/>
  <c r="AL71" i="3"/>
  <c r="AL72" i="3"/>
  <c r="AL73" i="3"/>
  <c r="AL74" i="3"/>
  <c r="AL75" i="3"/>
  <c r="AL76" i="3"/>
  <c r="AL77" i="3"/>
  <c r="AL78" i="3"/>
  <c r="AL79" i="3"/>
  <c r="AL80" i="3"/>
  <c r="AL81" i="3"/>
  <c r="AL82" i="3"/>
  <c r="AL83" i="3"/>
  <c r="AL84" i="3"/>
  <c r="AL85" i="3"/>
  <c r="AL86" i="3"/>
  <c r="AL87" i="3"/>
  <c r="AL88" i="3"/>
  <c r="AL89" i="3"/>
  <c r="AL90" i="3"/>
  <c r="AL91" i="3"/>
  <c r="AL92" i="3"/>
  <c r="AL93" i="3"/>
  <c r="AL94" i="3"/>
  <c r="AL95" i="3"/>
  <c r="AL96" i="3"/>
  <c r="AL97" i="3"/>
  <c r="AL98" i="3"/>
  <c r="AL99" i="3"/>
  <c r="AL100" i="3"/>
  <c r="AL101" i="3"/>
  <c r="AL102" i="3"/>
  <c r="AL103" i="3"/>
  <c r="AL104" i="3"/>
  <c r="AL105" i="3"/>
  <c r="AL106" i="3"/>
  <c r="AL107" i="3"/>
  <c r="AL108" i="3"/>
  <c r="AL109" i="3"/>
  <c r="AL110" i="3"/>
  <c r="AL111" i="3"/>
  <c r="AL112" i="3"/>
  <c r="AL113" i="3"/>
  <c r="AL114" i="3"/>
  <c r="AL115" i="3"/>
  <c r="AL116" i="3"/>
  <c r="AL117" i="3"/>
  <c r="AL118" i="3"/>
  <c r="AL119" i="3"/>
  <c r="AL120" i="3"/>
  <c r="AL121" i="3"/>
  <c r="AL122" i="3"/>
  <c r="AL123" i="3"/>
  <c r="AL124" i="3"/>
  <c r="AL125" i="3"/>
  <c r="AL126" i="3"/>
  <c r="AL127" i="3"/>
  <c r="AL128" i="3"/>
  <c r="AL129" i="3"/>
  <c r="AL130" i="3"/>
  <c r="AL131" i="3"/>
  <c r="AL132" i="3"/>
  <c r="AL133" i="3"/>
  <c r="AL134" i="3"/>
  <c r="AL135" i="3"/>
  <c r="AL136" i="3"/>
  <c r="AL137" i="3"/>
  <c r="AL138" i="3"/>
  <c r="AL139" i="3"/>
  <c r="AL140" i="3"/>
  <c r="AL141" i="3"/>
  <c r="AL142" i="3"/>
  <c r="AL143" i="3"/>
  <c r="AL144" i="3"/>
  <c r="AL145" i="3"/>
  <c r="AL146" i="3"/>
  <c r="AL147" i="3"/>
  <c r="AL148" i="3"/>
  <c r="AL149" i="3"/>
  <c r="AL150" i="3"/>
  <c r="AL151" i="3"/>
  <c r="AL152" i="3"/>
  <c r="AL153" i="3"/>
  <c r="AL154" i="3"/>
  <c r="AL155" i="3"/>
  <c r="AL156" i="3"/>
  <c r="AL157" i="3"/>
  <c r="AL158" i="3"/>
  <c r="AL159" i="3"/>
  <c r="AL160" i="3"/>
  <c r="AL161" i="3"/>
  <c r="AL162" i="3"/>
  <c r="AL163" i="3"/>
  <c r="AL164" i="3"/>
  <c r="AL165" i="3"/>
  <c r="AL166" i="3"/>
  <c r="AL167" i="3"/>
  <c r="AL168" i="3"/>
  <c r="AL169" i="3"/>
  <c r="AL170" i="3"/>
  <c r="AL171" i="3"/>
  <c r="AL172" i="3"/>
  <c r="AL173" i="3"/>
  <c r="AL174" i="3"/>
  <c r="AL175" i="3"/>
  <c r="AL176" i="3"/>
  <c r="AL177" i="3"/>
  <c r="AL178" i="3"/>
  <c r="AL179" i="3"/>
  <c r="AL180" i="3"/>
  <c r="AL181" i="3"/>
  <c r="AL182" i="3"/>
  <c r="AL183" i="3"/>
  <c r="AL184" i="3"/>
  <c r="AL185" i="3"/>
  <c r="AL186" i="3"/>
  <c r="AL187" i="3"/>
  <c r="AL188" i="3"/>
  <c r="AL189" i="3"/>
  <c r="AL190" i="3"/>
  <c r="AL191" i="3"/>
  <c r="AL192" i="3"/>
  <c r="AL193" i="3"/>
  <c r="AL194" i="3"/>
  <c r="AL195" i="3"/>
  <c r="AL196" i="3"/>
  <c r="AL197" i="3"/>
  <c r="AL198" i="3"/>
  <c r="AL199" i="3"/>
  <c r="AL200" i="3"/>
  <c r="AL201" i="3"/>
  <c r="AL202" i="3"/>
  <c r="AL203" i="3"/>
  <c r="AL9" i="3"/>
  <c r="AH150" i="3"/>
  <c r="AI174" i="3"/>
  <c r="AJ174" i="3" s="1"/>
  <c r="AI172" i="3"/>
  <c r="AJ172" i="3" s="1"/>
  <c r="AI168" i="3"/>
  <c r="AJ168" i="3" s="1"/>
  <c r="AH195" i="3" l="1"/>
  <c r="AH194" i="3"/>
  <c r="AH192" i="3"/>
  <c r="AH191" i="3"/>
  <c r="AH190" i="3"/>
  <c r="AH189" i="3"/>
  <c r="AH185" i="3"/>
  <c r="AH184" i="3"/>
  <c r="AH183" i="3"/>
  <c r="AH182" i="3"/>
  <c r="AH168" i="3"/>
  <c r="AH169" i="3"/>
  <c r="AH170" i="3"/>
  <c r="AH171" i="3"/>
  <c r="AH172" i="3"/>
  <c r="AH173" i="3"/>
  <c r="AH174" i="3"/>
  <c r="AH175" i="3"/>
  <c r="AH167" i="3"/>
  <c r="AH166" i="3"/>
  <c r="AH162" i="3"/>
  <c r="AH157" i="3"/>
  <c r="AH158" i="3"/>
  <c r="AH149" i="3"/>
  <c r="AH148" i="3"/>
  <c r="AH147" i="3"/>
  <c r="AH146" i="3"/>
  <c r="AH145" i="3"/>
  <c r="AH144" i="3"/>
  <c r="AH143" i="3"/>
  <c r="AH142" i="3"/>
  <c r="AH141" i="3"/>
  <c r="AH140" i="3"/>
  <c r="AH139" i="3"/>
  <c r="AH138" i="3"/>
  <c r="AH137" i="3"/>
  <c r="AH136" i="3"/>
  <c r="AH135" i="3"/>
  <c r="AH134" i="3"/>
  <c r="AH130" i="3"/>
  <c r="AH125" i="3"/>
  <c r="AH126" i="3"/>
  <c r="AH124" i="3"/>
  <c r="AH123" i="3"/>
  <c r="AH122" i="3"/>
  <c r="AH121" i="3"/>
  <c r="AH115" i="3"/>
  <c r="AH108" i="3"/>
  <c r="AH107" i="3"/>
  <c r="AH106" i="3"/>
  <c r="AH102" i="3"/>
  <c r="AH101" i="3"/>
  <c r="AH100" i="3"/>
  <c r="AH99" i="3"/>
  <c r="AH95" i="3"/>
  <c r="AH94" i="3"/>
  <c r="AH93" i="3"/>
  <c r="AH91" i="3"/>
  <c r="AH90" i="3"/>
  <c r="AH86" i="3"/>
  <c r="AH85" i="3"/>
  <c r="AH84" i="3"/>
  <c r="AH83" i="3"/>
  <c r="AH82" i="3"/>
  <c r="AH75" i="3"/>
  <c r="AH74" i="3"/>
  <c r="AH73" i="3"/>
  <c r="AH72" i="3"/>
  <c r="AH68" i="3"/>
  <c r="AH67" i="3"/>
  <c r="AH66" i="3"/>
  <c r="AH64" i="3"/>
  <c r="AH63" i="3"/>
  <c r="AH59" i="3"/>
  <c r="AH58" i="3"/>
  <c r="AH57" i="3"/>
  <c r="AH56" i="3"/>
  <c r="AH49" i="3"/>
  <c r="AH48" i="3"/>
  <c r="AH47" i="3"/>
  <c r="AH46" i="3"/>
  <c r="AH42" i="3"/>
  <c r="AH41" i="3"/>
  <c r="AH34" i="3"/>
  <c r="AH33" i="3"/>
  <c r="AH32" i="3"/>
  <c r="AH28" i="3"/>
  <c r="AH27" i="3"/>
  <c r="AH26" i="3"/>
  <c r="AH25" i="3"/>
  <c r="AH21" i="3"/>
  <c r="AH20" i="3"/>
  <c r="AH19" i="3"/>
  <c r="AH17" i="3"/>
  <c r="AH16" i="3"/>
  <c r="AH9" i="3"/>
  <c r="AH10" i="3"/>
  <c r="AH11" i="3"/>
  <c r="AH12" i="3"/>
  <c r="AH8" i="3"/>
  <c r="AH13" i="3"/>
  <c r="AH14" i="3"/>
  <c r="AH15" i="3"/>
  <c r="AH18" i="3"/>
  <c r="AH22" i="3"/>
  <c r="AH23" i="3"/>
  <c r="AH24" i="3"/>
  <c r="AH29" i="3"/>
  <c r="AH30" i="3"/>
  <c r="AH31" i="3"/>
  <c r="AH35" i="3"/>
  <c r="AH36" i="3"/>
  <c r="AH37" i="3"/>
  <c r="AH38" i="3"/>
  <c r="AH39" i="3"/>
  <c r="AH40" i="3"/>
  <c r="AH43" i="3"/>
  <c r="AH44" i="3"/>
  <c r="AH45" i="3"/>
  <c r="AH50" i="3"/>
  <c r="AH51" i="3"/>
  <c r="AH52" i="3"/>
  <c r="AH53" i="3"/>
  <c r="AH54" i="3"/>
  <c r="AH55" i="3"/>
  <c r="AH60" i="3"/>
  <c r="AH61" i="3"/>
  <c r="AH62" i="3"/>
  <c r="AH65" i="3"/>
  <c r="AH69" i="3"/>
  <c r="AH70" i="3"/>
  <c r="AH71" i="3"/>
  <c r="AH76" i="3"/>
  <c r="AH77" i="3"/>
  <c r="AH78" i="3"/>
  <c r="AH79" i="3"/>
  <c r="AH80" i="3"/>
  <c r="AH81" i="3"/>
  <c r="AH87" i="3"/>
  <c r="AH88" i="3"/>
  <c r="AH89" i="3"/>
  <c r="AH92" i="3"/>
  <c r="AH96" i="3"/>
  <c r="AH97" i="3"/>
  <c r="AH98" i="3"/>
  <c r="AH103" i="3"/>
  <c r="AH104" i="3"/>
  <c r="AH105" i="3"/>
  <c r="AH109" i="3"/>
  <c r="AH110" i="3"/>
  <c r="AH111" i="3"/>
  <c r="AH112" i="3"/>
  <c r="AH113" i="3"/>
  <c r="AH114" i="3"/>
  <c r="AH116" i="3"/>
  <c r="AH117" i="3"/>
  <c r="AH118" i="3"/>
  <c r="AH119" i="3"/>
  <c r="AH120" i="3"/>
  <c r="AH127" i="3"/>
  <c r="AH128" i="3"/>
  <c r="AH129" i="3"/>
  <c r="AH131" i="3"/>
  <c r="AH132" i="3"/>
  <c r="AH133" i="3"/>
  <c r="AH151" i="3"/>
  <c r="AH152" i="3"/>
  <c r="AH153" i="3"/>
  <c r="AH154" i="3"/>
  <c r="AH155" i="3"/>
  <c r="AH156" i="3"/>
  <c r="AH159" i="3"/>
  <c r="AH160" i="3"/>
  <c r="AH161" i="3"/>
  <c r="AH163" i="3"/>
  <c r="AH164" i="3"/>
  <c r="AH165" i="3"/>
  <c r="AH176" i="3"/>
  <c r="AH177" i="3"/>
  <c r="AH178" i="3"/>
  <c r="AH179" i="3"/>
  <c r="AH180" i="3"/>
  <c r="AH181" i="3"/>
  <c r="AH186" i="3"/>
  <c r="AH187" i="3"/>
  <c r="AH188" i="3"/>
  <c r="AH193" i="3"/>
  <c r="AH196" i="3"/>
  <c r="AH197" i="3"/>
  <c r="AH198" i="3"/>
  <c r="AH199" i="3"/>
  <c r="AH200" i="3"/>
  <c r="AH201" i="3"/>
  <c r="AH202" i="3"/>
  <c r="AH203" i="3"/>
  <c r="AG9" i="3"/>
  <c r="AG10" i="3"/>
  <c r="AG11" i="3"/>
  <c r="AG12" i="3"/>
  <c r="AG13" i="3"/>
  <c r="AG14" i="3"/>
  <c r="AG15" i="3"/>
  <c r="AG16" i="3"/>
  <c r="AG17" i="3"/>
  <c r="AG18" i="3"/>
  <c r="AG19" i="3"/>
  <c r="AG20" i="3"/>
  <c r="AG21" i="3"/>
  <c r="AG22" i="3"/>
  <c r="AG23" i="3"/>
  <c r="AG24" i="3"/>
  <c r="AG25" i="3"/>
  <c r="AG26" i="3"/>
  <c r="AG27" i="3"/>
  <c r="AG28" i="3"/>
  <c r="AG29" i="3"/>
  <c r="AG30" i="3"/>
  <c r="AG31" i="3"/>
  <c r="AG32" i="3"/>
  <c r="AG33" i="3"/>
  <c r="AG34" i="3"/>
  <c r="AG35" i="3"/>
  <c r="AG36" i="3"/>
  <c r="AG37" i="3"/>
  <c r="AG38" i="3"/>
  <c r="AG39" i="3"/>
  <c r="AG40" i="3"/>
  <c r="AG41" i="3"/>
  <c r="AG42" i="3"/>
  <c r="AG43" i="3"/>
  <c r="AG44" i="3"/>
  <c r="AG45" i="3"/>
  <c r="AG46" i="3"/>
  <c r="AG47" i="3"/>
  <c r="AG48" i="3"/>
  <c r="AG49" i="3"/>
  <c r="AG50" i="3"/>
  <c r="AG51" i="3"/>
  <c r="AG52" i="3"/>
  <c r="AG53" i="3"/>
  <c r="AG54" i="3"/>
  <c r="AG55" i="3"/>
  <c r="AG56" i="3"/>
  <c r="AG57" i="3"/>
  <c r="AG58" i="3"/>
  <c r="AG59" i="3"/>
  <c r="AG60" i="3"/>
  <c r="AG61" i="3"/>
  <c r="AG62" i="3"/>
  <c r="AG63" i="3"/>
  <c r="AG64" i="3"/>
  <c r="AG65" i="3"/>
  <c r="AG66" i="3"/>
  <c r="AG67" i="3"/>
  <c r="AG68" i="3"/>
  <c r="AG69" i="3"/>
  <c r="AG70" i="3"/>
  <c r="AG71" i="3"/>
  <c r="AG72" i="3"/>
  <c r="AG73" i="3"/>
  <c r="AG74" i="3"/>
  <c r="AG75" i="3"/>
  <c r="AG76" i="3"/>
  <c r="AG77" i="3"/>
  <c r="AG78" i="3"/>
  <c r="AG79" i="3"/>
  <c r="AG80" i="3"/>
  <c r="AG81" i="3"/>
  <c r="AG82" i="3"/>
  <c r="AG83" i="3"/>
  <c r="AG84" i="3"/>
  <c r="AG85" i="3"/>
  <c r="AG86" i="3"/>
  <c r="AG87" i="3"/>
  <c r="AG88" i="3"/>
  <c r="AG89" i="3"/>
  <c r="AG90" i="3"/>
  <c r="AG91" i="3"/>
  <c r="AG92" i="3"/>
  <c r="AG93" i="3"/>
  <c r="AG94" i="3"/>
  <c r="AG95" i="3"/>
  <c r="AG96" i="3"/>
  <c r="AG97" i="3"/>
  <c r="AG98" i="3"/>
  <c r="AG99" i="3"/>
  <c r="AG100" i="3"/>
  <c r="AG101" i="3"/>
  <c r="AG102" i="3"/>
  <c r="AG103" i="3"/>
  <c r="AG104" i="3"/>
  <c r="AG105" i="3"/>
  <c r="AG106" i="3"/>
  <c r="AG107" i="3"/>
  <c r="AG108" i="3"/>
  <c r="AG109" i="3"/>
  <c r="AG110" i="3"/>
  <c r="AG111" i="3"/>
  <c r="AG112" i="3"/>
  <c r="AG113" i="3"/>
  <c r="AG114" i="3"/>
  <c r="AG115" i="3"/>
  <c r="AG116" i="3"/>
  <c r="AG117" i="3"/>
  <c r="AG118" i="3"/>
  <c r="AG119" i="3"/>
  <c r="AG120" i="3"/>
  <c r="AG121" i="3"/>
  <c r="AG122" i="3"/>
  <c r="AG123" i="3"/>
  <c r="AG124" i="3"/>
  <c r="AG125" i="3"/>
  <c r="AG126" i="3"/>
  <c r="AG127" i="3"/>
  <c r="AG128" i="3"/>
  <c r="AG129" i="3"/>
  <c r="AG130" i="3"/>
  <c r="AG131" i="3"/>
  <c r="AG132" i="3"/>
  <c r="AG133" i="3"/>
  <c r="AG134" i="3"/>
  <c r="AG135" i="3"/>
  <c r="AG136" i="3"/>
  <c r="AG137" i="3"/>
  <c r="AG138" i="3"/>
  <c r="AG139" i="3"/>
  <c r="AG140" i="3"/>
  <c r="AG141" i="3"/>
  <c r="AG142" i="3"/>
  <c r="AG143" i="3"/>
  <c r="AG144" i="3"/>
  <c r="AG145" i="3"/>
  <c r="AG146" i="3"/>
  <c r="AG147" i="3"/>
  <c r="AG148" i="3"/>
  <c r="AG149" i="3"/>
  <c r="AG150" i="3"/>
  <c r="AG151" i="3"/>
  <c r="AG152" i="3"/>
  <c r="AG153" i="3"/>
  <c r="AG154" i="3"/>
  <c r="AG155" i="3"/>
  <c r="AG156" i="3"/>
  <c r="AG157" i="3"/>
  <c r="AG158" i="3"/>
  <c r="AG159" i="3"/>
  <c r="AG160" i="3"/>
  <c r="AG161" i="3"/>
  <c r="AG162" i="3"/>
  <c r="AG163" i="3"/>
  <c r="AG164" i="3"/>
  <c r="AG165" i="3"/>
  <c r="AG166" i="3"/>
  <c r="AG167" i="3"/>
  <c r="AG168" i="3"/>
  <c r="AG169" i="3"/>
  <c r="AG170" i="3"/>
  <c r="AG171" i="3"/>
  <c r="AG172" i="3"/>
  <c r="AG173" i="3"/>
  <c r="AG174" i="3"/>
  <c r="AG175" i="3"/>
  <c r="AG176" i="3"/>
  <c r="AG177" i="3"/>
  <c r="AG178" i="3"/>
  <c r="AG179" i="3"/>
  <c r="AG180" i="3"/>
  <c r="AG181" i="3"/>
  <c r="AG182" i="3"/>
  <c r="AG183" i="3"/>
  <c r="AG184" i="3"/>
  <c r="AG185" i="3"/>
  <c r="AG186" i="3"/>
  <c r="AG187" i="3"/>
  <c r="AG188" i="3"/>
  <c r="AG189" i="3"/>
  <c r="AG190" i="3"/>
  <c r="AG191" i="3"/>
  <c r="AG192" i="3"/>
  <c r="AG193" i="3"/>
  <c r="AG194" i="3"/>
  <c r="AG195" i="3"/>
  <c r="AG196" i="3"/>
  <c r="AG197" i="3"/>
  <c r="AG198" i="3"/>
  <c r="AG199" i="3"/>
  <c r="AG200" i="3"/>
  <c r="AG201" i="3"/>
  <c r="AG202" i="3"/>
  <c r="AG203" i="3"/>
  <c r="AG8" i="3"/>
  <c r="Z75" i="3"/>
  <c r="Z74" i="3"/>
  <c r="Z49" i="3"/>
  <c r="Z48" i="3"/>
  <c r="Z32" i="3"/>
  <c r="Z20" i="3"/>
  <c r="AA20" i="3"/>
  <c r="AA21" i="3"/>
  <c r="AA22" i="3"/>
  <c r="AA23" i="3"/>
  <c r="AA26" i="3"/>
  <c r="AA41" i="3"/>
  <c r="AB41" i="3" s="1"/>
  <c r="AC41" i="3" s="1"/>
  <c r="AA46" i="3"/>
  <c r="AB46" i="3" s="1"/>
  <c r="AC46" i="3" s="1"/>
  <c r="AA94" i="3"/>
  <c r="AB94" i="3" s="1"/>
  <c r="AC94" i="3" s="1"/>
  <c r="AA95" i="3"/>
  <c r="AB95" i="3" s="1"/>
  <c r="AC95" i="3" s="1"/>
  <c r="AA96" i="3"/>
  <c r="AB96" i="3" s="1"/>
  <c r="AC96" i="3" s="1"/>
  <c r="AM96" i="3" s="1"/>
  <c r="AA97" i="3"/>
  <c r="AB97" i="3" s="1"/>
  <c r="AC97" i="3" s="1"/>
  <c r="AM97" i="3" s="1"/>
  <c r="AA100" i="3"/>
  <c r="AB100" i="3" s="1"/>
  <c r="AC100" i="3" s="1"/>
  <c r="AA101" i="3"/>
  <c r="AB101" i="3" s="1"/>
  <c r="AC101" i="3" s="1"/>
  <c r="AA102" i="3"/>
  <c r="AB102" i="3" s="1"/>
  <c r="AC102" i="3" s="1"/>
  <c r="AA121" i="3"/>
  <c r="AB121" i="3" s="1"/>
  <c r="AC121" i="3" s="1"/>
  <c r="AA122" i="3"/>
  <c r="AB122" i="3" s="1"/>
  <c r="AC122" i="3" s="1"/>
  <c r="AA123" i="3"/>
  <c r="AB123" i="3" s="1"/>
  <c r="AC123" i="3" s="1"/>
  <c r="AA124" i="3"/>
  <c r="AB124" i="3" s="1"/>
  <c r="AC124" i="3" s="1"/>
  <c r="AA125" i="3"/>
  <c r="AB125" i="3" s="1"/>
  <c r="AC125" i="3" s="1"/>
  <c r="AM125" i="3" s="1"/>
  <c r="AA126" i="3"/>
  <c r="AB126" i="3" s="1"/>
  <c r="AC126" i="3" s="1"/>
  <c r="AM126" i="3" s="1"/>
  <c r="AA127" i="3"/>
  <c r="AB127" i="3" s="1"/>
  <c r="AC127" i="3" s="1"/>
  <c r="AM127" i="3" s="1"/>
  <c r="AA128" i="3"/>
  <c r="AB128" i="3" s="1"/>
  <c r="AC128" i="3" s="1"/>
  <c r="AM128" i="3" s="1"/>
  <c r="AA129" i="3"/>
  <c r="AB129" i="3" s="1"/>
  <c r="AC129" i="3" s="1"/>
  <c r="AM129" i="3" s="1"/>
  <c r="AA130" i="3"/>
  <c r="AB130" i="3" s="1"/>
  <c r="AC130" i="3" s="1"/>
  <c r="AM130" i="3" s="1"/>
  <c r="AA131" i="3"/>
  <c r="AB131" i="3" s="1"/>
  <c r="AC131" i="3" s="1"/>
  <c r="AM131" i="3" s="1"/>
  <c r="AA132" i="3"/>
  <c r="AB132" i="3" s="1"/>
  <c r="AC132" i="3" s="1"/>
  <c r="AM132" i="3" s="1"/>
  <c r="AA133" i="3"/>
  <c r="AB133" i="3" s="1"/>
  <c r="AC133" i="3" s="1"/>
  <c r="AM133" i="3" s="1"/>
  <c r="AA134" i="3"/>
  <c r="AB134" i="3" s="1"/>
  <c r="AC134" i="3" s="1"/>
  <c r="AM134" i="3" s="1"/>
  <c r="AA135" i="3"/>
  <c r="AB135" i="3" s="1"/>
  <c r="AC135" i="3" s="1"/>
  <c r="AA136" i="3"/>
  <c r="AB136" i="3" s="1"/>
  <c r="AC136" i="3" s="1"/>
  <c r="AA137" i="3"/>
  <c r="AB137" i="3" s="1"/>
  <c r="AC137" i="3" s="1"/>
  <c r="AA138" i="3"/>
  <c r="AB138" i="3" s="1"/>
  <c r="AC138" i="3" s="1"/>
  <c r="AA139" i="3"/>
  <c r="AB139" i="3" s="1"/>
  <c r="AC139" i="3" s="1"/>
  <c r="AA140" i="3"/>
  <c r="AB140" i="3" s="1"/>
  <c r="AC140" i="3" s="1"/>
  <c r="AA141" i="3"/>
  <c r="AB141" i="3" s="1"/>
  <c r="AC141" i="3" s="1"/>
  <c r="AA142" i="3"/>
  <c r="AB142" i="3" s="1"/>
  <c r="AC142" i="3" s="1"/>
  <c r="AA143" i="3"/>
  <c r="AB143" i="3" s="1"/>
  <c r="AC143" i="3" s="1"/>
  <c r="AA144" i="3"/>
  <c r="AB144" i="3" s="1"/>
  <c r="AC144" i="3" s="1"/>
  <c r="AA145" i="3"/>
  <c r="AB145" i="3" s="1"/>
  <c r="AC145" i="3" s="1"/>
  <c r="AA146" i="3"/>
  <c r="AB146" i="3" s="1"/>
  <c r="AC146" i="3" s="1"/>
  <c r="AA147" i="3"/>
  <c r="AB147" i="3" s="1"/>
  <c r="AC147" i="3" s="1"/>
  <c r="AA148" i="3"/>
  <c r="AB148" i="3" s="1"/>
  <c r="AC148" i="3" s="1"/>
  <c r="AA149" i="3"/>
  <c r="AB149" i="3" s="1"/>
  <c r="AC149" i="3" s="1"/>
  <c r="AA150" i="3"/>
  <c r="AB150" i="3" s="1"/>
  <c r="AC150" i="3" s="1"/>
  <c r="AA151" i="3"/>
  <c r="AB151" i="3" s="1"/>
  <c r="AC151" i="3" s="1"/>
  <c r="AM151" i="3" s="1"/>
  <c r="AA152" i="3"/>
  <c r="AB152" i="3" s="1"/>
  <c r="AC152" i="3" s="1"/>
  <c r="AM152" i="3" s="1"/>
  <c r="AA153" i="3"/>
  <c r="AB153" i="3" s="1"/>
  <c r="AC153" i="3" s="1"/>
  <c r="AM153" i="3" s="1"/>
  <c r="AA154" i="3"/>
  <c r="AB154" i="3" s="1"/>
  <c r="AC154" i="3" s="1"/>
  <c r="AM154" i="3" s="1"/>
  <c r="AA155" i="3"/>
  <c r="AB155" i="3" s="1"/>
  <c r="AC155" i="3" s="1"/>
  <c r="AM155" i="3" s="1"/>
  <c r="AA156" i="3"/>
  <c r="AB156" i="3" s="1"/>
  <c r="AC156" i="3" s="1"/>
  <c r="AM156" i="3" s="1"/>
  <c r="AA157" i="3"/>
  <c r="AB157" i="3" s="1"/>
  <c r="AC157" i="3" s="1"/>
  <c r="AM157" i="3" s="1"/>
  <c r="AA158" i="3"/>
  <c r="AB158" i="3" s="1"/>
  <c r="AC158" i="3" s="1"/>
  <c r="AM158" i="3" s="1"/>
  <c r="AA159" i="3"/>
  <c r="AB159" i="3" s="1"/>
  <c r="AC159" i="3" s="1"/>
  <c r="AM159" i="3" s="1"/>
  <c r="AA160" i="3"/>
  <c r="AB160" i="3" s="1"/>
  <c r="AC160" i="3" s="1"/>
  <c r="AM160" i="3" s="1"/>
  <c r="AA161" i="3"/>
  <c r="AB161" i="3" s="1"/>
  <c r="AC161" i="3" s="1"/>
  <c r="AM161" i="3" s="1"/>
  <c r="AA162" i="3"/>
  <c r="AB162" i="3" s="1"/>
  <c r="AC162" i="3" s="1"/>
  <c r="AM162" i="3" s="1"/>
  <c r="AA163" i="3"/>
  <c r="AB163" i="3" s="1"/>
  <c r="AC163" i="3" s="1"/>
  <c r="AM163" i="3" s="1"/>
  <c r="AA164" i="3"/>
  <c r="AB164" i="3" s="1"/>
  <c r="AC164" i="3" s="1"/>
  <c r="AM164" i="3" s="1"/>
  <c r="AA165" i="3"/>
  <c r="AB165" i="3" s="1"/>
  <c r="AC165" i="3" s="1"/>
  <c r="AM165" i="3" s="1"/>
  <c r="AA166" i="3"/>
  <c r="AB166" i="3" s="1"/>
  <c r="AC166" i="3" s="1"/>
  <c r="AM166" i="3" s="1"/>
  <c r="AA167" i="3"/>
  <c r="AB167" i="3" s="1"/>
  <c r="AC167" i="3" s="1"/>
  <c r="AA168" i="3"/>
  <c r="AB168" i="3" s="1"/>
  <c r="AC168" i="3" s="1"/>
  <c r="AA178" i="3"/>
  <c r="AB178" i="3" s="1"/>
  <c r="AC178" i="3" s="1"/>
  <c r="AM178" i="3" s="1"/>
  <c r="AA179" i="3"/>
  <c r="AB179" i="3" s="1"/>
  <c r="AC179" i="3" s="1"/>
  <c r="AM179" i="3" s="1"/>
  <c r="AA182" i="3"/>
  <c r="AB182" i="3" s="1"/>
  <c r="AC182" i="3" s="1"/>
  <c r="AA183" i="3"/>
  <c r="AB183" i="3" s="1"/>
  <c r="AC183" i="3" s="1"/>
  <c r="AA184" i="3"/>
  <c r="AB184" i="3" s="1"/>
  <c r="AC184" i="3" s="1"/>
  <c r="AA185" i="3"/>
  <c r="AB185" i="3" s="1"/>
  <c r="AC185" i="3" s="1"/>
  <c r="AM185" i="3" s="1"/>
  <c r="AA186" i="3"/>
  <c r="AB186" i="3" s="1"/>
  <c r="AC186" i="3" s="1"/>
  <c r="AM186" i="3" s="1"/>
  <c r="AA187" i="3"/>
  <c r="AB187" i="3" s="1"/>
  <c r="AC187" i="3" s="1"/>
  <c r="AM187" i="3" s="1"/>
  <c r="AA188" i="3"/>
  <c r="AB188" i="3" s="1"/>
  <c r="AC188" i="3" s="1"/>
  <c r="AM188" i="3" s="1"/>
  <c r="AA189" i="3"/>
  <c r="AB189" i="3" s="1"/>
  <c r="AC189" i="3" s="1"/>
  <c r="AM189" i="3" s="1"/>
  <c r="AA190" i="3"/>
  <c r="AB190" i="3" s="1"/>
  <c r="AC190" i="3" s="1"/>
  <c r="AA191" i="3"/>
  <c r="AB191" i="3" s="1"/>
  <c r="AC191" i="3" s="1"/>
  <c r="AA192" i="3"/>
  <c r="AB192" i="3" s="1"/>
  <c r="AC192" i="3" s="1"/>
  <c r="AA193" i="3"/>
  <c r="AB193" i="3" s="1"/>
  <c r="AC193" i="3" s="1"/>
  <c r="AM193" i="3" s="1"/>
  <c r="AA194" i="3"/>
  <c r="AB194" i="3" s="1"/>
  <c r="AC194" i="3" s="1"/>
  <c r="AM194" i="3" s="1"/>
  <c r="AA195" i="3"/>
  <c r="AB195" i="3" s="1"/>
  <c r="AC195" i="3" s="1"/>
  <c r="AM195" i="3" s="1"/>
  <c r="AA196" i="3"/>
  <c r="AB196" i="3" s="1"/>
  <c r="AC196" i="3" s="1"/>
  <c r="AM196" i="3" s="1"/>
  <c r="AA197" i="3"/>
  <c r="AB197" i="3" s="1"/>
  <c r="AC197" i="3" s="1"/>
  <c r="AM197" i="3" s="1"/>
  <c r="AA198" i="3"/>
  <c r="AB198" i="3" s="1"/>
  <c r="AC198" i="3" s="1"/>
  <c r="AM198" i="3" s="1"/>
  <c r="AA199" i="3"/>
  <c r="AB199" i="3" s="1"/>
  <c r="AC199" i="3" s="1"/>
  <c r="AM199" i="3" s="1"/>
  <c r="AA200" i="3"/>
  <c r="AB200" i="3" s="1"/>
  <c r="AC200" i="3" s="1"/>
  <c r="AM200" i="3" s="1"/>
  <c r="AA201" i="3"/>
  <c r="AB201" i="3" s="1"/>
  <c r="AC201" i="3" s="1"/>
  <c r="AM201" i="3" s="1"/>
  <c r="AA202" i="3"/>
  <c r="AB202" i="3" s="1"/>
  <c r="AC202" i="3" s="1"/>
  <c r="AM202" i="3" s="1"/>
  <c r="AA203" i="3"/>
  <c r="AB203" i="3" s="1"/>
  <c r="AC203" i="3" s="1"/>
  <c r="AM203" i="3" s="1"/>
  <c r="Y9" i="3"/>
  <c r="AF9" i="3" s="1"/>
  <c r="Y10" i="3"/>
  <c r="AF10" i="3" s="1"/>
  <c r="Y11" i="3"/>
  <c r="AF11" i="3" s="1"/>
  <c r="Y12" i="3"/>
  <c r="AF12" i="3" s="1"/>
  <c r="Y13" i="3"/>
  <c r="AF13" i="3" s="1"/>
  <c r="Y14" i="3"/>
  <c r="AF14" i="3" s="1"/>
  <c r="Y15" i="3"/>
  <c r="AF15" i="3" s="1"/>
  <c r="Y16" i="3"/>
  <c r="AF16" i="3" s="1"/>
  <c r="Y17" i="3"/>
  <c r="AF17" i="3" s="1"/>
  <c r="Y18" i="3"/>
  <c r="AF18" i="3" s="1"/>
  <c r="Y19" i="3"/>
  <c r="AF19" i="3" s="1"/>
  <c r="Y20" i="3"/>
  <c r="AF20" i="3" s="1"/>
  <c r="Y21" i="3"/>
  <c r="AF21" i="3" s="1"/>
  <c r="Y22" i="3"/>
  <c r="AF22" i="3" s="1"/>
  <c r="Y23" i="3"/>
  <c r="AF23" i="3" s="1"/>
  <c r="Y24" i="3"/>
  <c r="AF24" i="3" s="1"/>
  <c r="Y25" i="3"/>
  <c r="AF25" i="3" s="1"/>
  <c r="Y26" i="3"/>
  <c r="AF26" i="3" s="1"/>
  <c r="Y27" i="3"/>
  <c r="AF27" i="3" s="1"/>
  <c r="Y28" i="3"/>
  <c r="AF28" i="3" s="1"/>
  <c r="Y29" i="3"/>
  <c r="AF29" i="3" s="1"/>
  <c r="Y30" i="3"/>
  <c r="AF30" i="3" s="1"/>
  <c r="Y31" i="3"/>
  <c r="AF31" i="3" s="1"/>
  <c r="Y32" i="3"/>
  <c r="AF32" i="3" s="1"/>
  <c r="Y33" i="3"/>
  <c r="AF33" i="3" s="1"/>
  <c r="Y34" i="3"/>
  <c r="AF34" i="3" s="1"/>
  <c r="Y35" i="3"/>
  <c r="AF35" i="3" s="1"/>
  <c r="Y36" i="3"/>
  <c r="AF36" i="3" s="1"/>
  <c r="Y37" i="3"/>
  <c r="AF37" i="3" s="1"/>
  <c r="Y38" i="3"/>
  <c r="AF38" i="3" s="1"/>
  <c r="Y39" i="3"/>
  <c r="AF39" i="3" s="1"/>
  <c r="Y40" i="3"/>
  <c r="AF40" i="3" s="1"/>
  <c r="Y41" i="3"/>
  <c r="AF41" i="3" s="1"/>
  <c r="Y42" i="3"/>
  <c r="AF42" i="3" s="1"/>
  <c r="Y43" i="3"/>
  <c r="AF43" i="3" s="1"/>
  <c r="Y44" i="3"/>
  <c r="AF44" i="3" s="1"/>
  <c r="Y45" i="3"/>
  <c r="AF45" i="3" s="1"/>
  <c r="Y46" i="3"/>
  <c r="AF46" i="3" s="1"/>
  <c r="Y47" i="3"/>
  <c r="AF47" i="3" s="1"/>
  <c r="Y48" i="3"/>
  <c r="AF48" i="3" s="1"/>
  <c r="Y49" i="3"/>
  <c r="AF49" i="3" s="1"/>
  <c r="Y50" i="3"/>
  <c r="AF50" i="3" s="1"/>
  <c r="Y51" i="3"/>
  <c r="AF51" i="3" s="1"/>
  <c r="Y52" i="3"/>
  <c r="AF52" i="3" s="1"/>
  <c r="Y53" i="3"/>
  <c r="AF53" i="3" s="1"/>
  <c r="Y54" i="3"/>
  <c r="AF54" i="3" s="1"/>
  <c r="Y55" i="3"/>
  <c r="AF55" i="3" s="1"/>
  <c r="Y56" i="3"/>
  <c r="AF56" i="3" s="1"/>
  <c r="Y57" i="3"/>
  <c r="AF57" i="3" s="1"/>
  <c r="Y58" i="3"/>
  <c r="AF58" i="3" s="1"/>
  <c r="Y59" i="3"/>
  <c r="AF59" i="3" s="1"/>
  <c r="Y60" i="3"/>
  <c r="AF60" i="3" s="1"/>
  <c r="Y61" i="3"/>
  <c r="AF61" i="3" s="1"/>
  <c r="Y62" i="3"/>
  <c r="AF62" i="3" s="1"/>
  <c r="Y63" i="3"/>
  <c r="AF63" i="3" s="1"/>
  <c r="Y64" i="3"/>
  <c r="AF64" i="3" s="1"/>
  <c r="Y65" i="3"/>
  <c r="AF65" i="3" s="1"/>
  <c r="Y66" i="3"/>
  <c r="AF66" i="3" s="1"/>
  <c r="Y67" i="3"/>
  <c r="AF67" i="3" s="1"/>
  <c r="Y68" i="3"/>
  <c r="AF68" i="3" s="1"/>
  <c r="Y69" i="3"/>
  <c r="AF69" i="3" s="1"/>
  <c r="Y70" i="3"/>
  <c r="AF70" i="3" s="1"/>
  <c r="Y71" i="3"/>
  <c r="AF71" i="3" s="1"/>
  <c r="Y72" i="3"/>
  <c r="AF72" i="3" s="1"/>
  <c r="Y73" i="3"/>
  <c r="AF73" i="3" s="1"/>
  <c r="Y74" i="3"/>
  <c r="AF74" i="3" s="1"/>
  <c r="Y75" i="3"/>
  <c r="AF75" i="3" s="1"/>
  <c r="Y76" i="3"/>
  <c r="AF76" i="3" s="1"/>
  <c r="Y77" i="3"/>
  <c r="AF77" i="3" s="1"/>
  <c r="Y78" i="3"/>
  <c r="AF78" i="3" s="1"/>
  <c r="Y79" i="3"/>
  <c r="AF79" i="3" s="1"/>
  <c r="Y80" i="3"/>
  <c r="AF80" i="3" s="1"/>
  <c r="Y81" i="3"/>
  <c r="AF81" i="3" s="1"/>
  <c r="Y82" i="3"/>
  <c r="AF82" i="3" s="1"/>
  <c r="Y83" i="3"/>
  <c r="AF83" i="3" s="1"/>
  <c r="Y84" i="3"/>
  <c r="AF84" i="3" s="1"/>
  <c r="Y85" i="3"/>
  <c r="AF85" i="3" s="1"/>
  <c r="Y86" i="3"/>
  <c r="AF86" i="3" s="1"/>
  <c r="Y87" i="3"/>
  <c r="AF87" i="3" s="1"/>
  <c r="Y88" i="3"/>
  <c r="AF88" i="3" s="1"/>
  <c r="Y89" i="3"/>
  <c r="AF89" i="3" s="1"/>
  <c r="Y90" i="3"/>
  <c r="AF90" i="3" s="1"/>
  <c r="Y91" i="3"/>
  <c r="AF91" i="3" s="1"/>
  <c r="Y92" i="3"/>
  <c r="AF92" i="3" s="1"/>
  <c r="Y93" i="3"/>
  <c r="AF93" i="3" s="1"/>
  <c r="Y94" i="3"/>
  <c r="AF94" i="3" s="1"/>
  <c r="Y95" i="3"/>
  <c r="AF95" i="3" s="1"/>
  <c r="Y96" i="3"/>
  <c r="AF96" i="3" s="1"/>
  <c r="Y97" i="3"/>
  <c r="AF97" i="3" s="1"/>
  <c r="Y98" i="3"/>
  <c r="AF98" i="3" s="1"/>
  <c r="Y99" i="3"/>
  <c r="AF99" i="3" s="1"/>
  <c r="Y100" i="3"/>
  <c r="AF100" i="3" s="1"/>
  <c r="Y101" i="3"/>
  <c r="AF101" i="3" s="1"/>
  <c r="Y102" i="3"/>
  <c r="AF102" i="3" s="1"/>
  <c r="Y103" i="3"/>
  <c r="AF103" i="3" s="1"/>
  <c r="Y104" i="3"/>
  <c r="AF104" i="3" s="1"/>
  <c r="Y105" i="3"/>
  <c r="AF105" i="3" s="1"/>
  <c r="Y106" i="3"/>
  <c r="AF106" i="3" s="1"/>
  <c r="Y107" i="3"/>
  <c r="AF107" i="3" s="1"/>
  <c r="Y108" i="3"/>
  <c r="AF108" i="3" s="1"/>
  <c r="Y109" i="3"/>
  <c r="AF109" i="3" s="1"/>
  <c r="Y110" i="3"/>
  <c r="AF110" i="3" s="1"/>
  <c r="Y111" i="3"/>
  <c r="AF111" i="3" s="1"/>
  <c r="Y112" i="3"/>
  <c r="AF112" i="3" s="1"/>
  <c r="Y113" i="3"/>
  <c r="AF113" i="3" s="1"/>
  <c r="Y114" i="3"/>
  <c r="AF114" i="3" s="1"/>
  <c r="Y115" i="3"/>
  <c r="AF115" i="3" s="1"/>
  <c r="Y116" i="3"/>
  <c r="AF116" i="3" s="1"/>
  <c r="Y117" i="3"/>
  <c r="AF117" i="3" s="1"/>
  <c r="Y118" i="3"/>
  <c r="AF118" i="3" s="1"/>
  <c r="Y119" i="3"/>
  <c r="AF119" i="3" s="1"/>
  <c r="Y120" i="3"/>
  <c r="AF120" i="3" s="1"/>
  <c r="Y121" i="3"/>
  <c r="AF121" i="3" s="1"/>
  <c r="Y122" i="3"/>
  <c r="AF122" i="3" s="1"/>
  <c r="Y123" i="3"/>
  <c r="AF123" i="3" s="1"/>
  <c r="Y124" i="3"/>
  <c r="AF124" i="3" s="1"/>
  <c r="Y125" i="3"/>
  <c r="AF125" i="3" s="1"/>
  <c r="Y126" i="3"/>
  <c r="AF126" i="3" s="1"/>
  <c r="Y127" i="3"/>
  <c r="AF127" i="3" s="1"/>
  <c r="Y128" i="3"/>
  <c r="AF128" i="3" s="1"/>
  <c r="Y129" i="3"/>
  <c r="AF129" i="3" s="1"/>
  <c r="Y130" i="3"/>
  <c r="AF130" i="3" s="1"/>
  <c r="Y131" i="3"/>
  <c r="AF131" i="3" s="1"/>
  <c r="Y132" i="3"/>
  <c r="AF132" i="3" s="1"/>
  <c r="Y133" i="3"/>
  <c r="AF133" i="3" s="1"/>
  <c r="Y134" i="3"/>
  <c r="AF134" i="3" s="1"/>
  <c r="Y135" i="3"/>
  <c r="AF135" i="3" s="1"/>
  <c r="Y136" i="3"/>
  <c r="AF136" i="3" s="1"/>
  <c r="Y137" i="3"/>
  <c r="AF137" i="3" s="1"/>
  <c r="Y138" i="3"/>
  <c r="AF138" i="3" s="1"/>
  <c r="Y139" i="3"/>
  <c r="AF139" i="3" s="1"/>
  <c r="Y140" i="3"/>
  <c r="AF140" i="3" s="1"/>
  <c r="Y141" i="3"/>
  <c r="AF141" i="3" s="1"/>
  <c r="Y142" i="3"/>
  <c r="AF142" i="3" s="1"/>
  <c r="Y143" i="3"/>
  <c r="AF143" i="3" s="1"/>
  <c r="Y144" i="3"/>
  <c r="AF144" i="3" s="1"/>
  <c r="Y145" i="3"/>
  <c r="AF145" i="3" s="1"/>
  <c r="Y146" i="3"/>
  <c r="AF146" i="3" s="1"/>
  <c r="Y147" i="3"/>
  <c r="AF147" i="3" s="1"/>
  <c r="Y148" i="3"/>
  <c r="AF148" i="3" s="1"/>
  <c r="Y149" i="3"/>
  <c r="AF149" i="3" s="1"/>
  <c r="Y150" i="3"/>
  <c r="AF150" i="3" s="1"/>
  <c r="Y151" i="3"/>
  <c r="AF151" i="3" s="1"/>
  <c r="Y152" i="3"/>
  <c r="AF152" i="3" s="1"/>
  <c r="Y153" i="3"/>
  <c r="AF153" i="3" s="1"/>
  <c r="Y154" i="3"/>
  <c r="AF154" i="3" s="1"/>
  <c r="Y155" i="3"/>
  <c r="AF155" i="3" s="1"/>
  <c r="Y156" i="3"/>
  <c r="AF156" i="3" s="1"/>
  <c r="Y157" i="3"/>
  <c r="AF157" i="3" s="1"/>
  <c r="Y158" i="3"/>
  <c r="AF158" i="3" s="1"/>
  <c r="Y159" i="3"/>
  <c r="AF159" i="3" s="1"/>
  <c r="Y160" i="3"/>
  <c r="AF160" i="3" s="1"/>
  <c r="Y161" i="3"/>
  <c r="AF161" i="3" s="1"/>
  <c r="Y162" i="3"/>
  <c r="AF162" i="3" s="1"/>
  <c r="Y163" i="3"/>
  <c r="AF163" i="3" s="1"/>
  <c r="Y164" i="3"/>
  <c r="AF164" i="3" s="1"/>
  <c r="Y165" i="3"/>
  <c r="AF165" i="3" s="1"/>
  <c r="Y166" i="3"/>
  <c r="AF166" i="3" s="1"/>
  <c r="Y167" i="3"/>
  <c r="AF167" i="3" s="1"/>
  <c r="Y168" i="3"/>
  <c r="AF168" i="3" s="1"/>
  <c r="Y169" i="3"/>
  <c r="AF169" i="3" s="1"/>
  <c r="Y170" i="3"/>
  <c r="AF170" i="3" s="1"/>
  <c r="Y171" i="3"/>
  <c r="AF171" i="3" s="1"/>
  <c r="Y172" i="3"/>
  <c r="AF172" i="3" s="1"/>
  <c r="Y173" i="3"/>
  <c r="AF173" i="3" s="1"/>
  <c r="Y174" i="3"/>
  <c r="AF174" i="3" s="1"/>
  <c r="Y175" i="3"/>
  <c r="AF175" i="3" s="1"/>
  <c r="Y176" i="3"/>
  <c r="AF176" i="3" s="1"/>
  <c r="Y177" i="3"/>
  <c r="AF177" i="3" s="1"/>
  <c r="Y178" i="3"/>
  <c r="AF178" i="3" s="1"/>
  <c r="Y179" i="3"/>
  <c r="AF179" i="3" s="1"/>
  <c r="Y180" i="3"/>
  <c r="AF180" i="3" s="1"/>
  <c r="Y181" i="3"/>
  <c r="AF181" i="3" s="1"/>
  <c r="Y182" i="3"/>
  <c r="AF182" i="3" s="1"/>
  <c r="Y183" i="3"/>
  <c r="AF183" i="3" s="1"/>
  <c r="Y184" i="3"/>
  <c r="AF184" i="3" s="1"/>
  <c r="Y185" i="3"/>
  <c r="AF185" i="3" s="1"/>
  <c r="Y186" i="3"/>
  <c r="AF186" i="3" s="1"/>
  <c r="Y187" i="3"/>
  <c r="AF187" i="3" s="1"/>
  <c r="Y188" i="3"/>
  <c r="AF188" i="3" s="1"/>
  <c r="Y189" i="3"/>
  <c r="AF189" i="3" s="1"/>
  <c r="Y190" i="3"/>
  <c r="AF190" i="3" s="1"/>
  <c r="Y191" i="3"/>
  <c r="AF191" i="3" s="1"/>
  <c r="Y192" i="3"/>
  <c r="AF192" i="3" s="1"/>
  <c r="Y193" i="3"/>
  <c r="AF193" i="3" s="1"/>
  <c r="AF194" i="3"/>
  <c r="Y195" i="3"/>
  <c r="AF195" i="3" s="1"/>
  <c r="Y196" i="3"/>
  <c r="AF196" i="3" s="1"/>
  <c r="Y197" i="3"/>
  <c r="AF197" i="3" s="1"/>
  <c r="Y198" i="3"/>
  <c r="AF198" i="3" s="1"/>
  <c r="Y199" i="3"/>
  <c r="AF199" i="3" s="1"/>
  <c r="Y200" i="3"/>
  <c r="AF200" i="3" s="1"/>
  <c r="Y201" i="3"/>
  <c r="AF201" i="3" s="1"/>
  <c r="Y202" i="3"/>
  <c r="AF202" i="3" s="1"/>
  <c r="Y203" i="3"/>
  <c r="AF203" i="3" s="1"/>
  <c r="Y8" i="3"/>
  <c r="AF8" i="3" s="1"/>
  <c r="P9" i="3"/>
  <c r="X9" i="3" s="1"/>
  <c r="P10" i="3"/>
  <c r="X10" i="3" s="1"/>
  <c r="P11" i="3"/>
  <c r="X11" i="3" s="1"/>
  <c r="P12" i="3"/>
  <c r="X12" i="3" s="1"/>
  <c r="P13" i="3"/>
  <c r="X13" i="3" s="1"/>
  <c r="P14" i="3"/>
  <c r="X14" i="3" s="1"/>
  <c r="P15" i="3"/>
  <c r="X15" i="3" s="1"/>
  <c r="P16" i="3"/>
  <c r="X16" i="3" s="1"/>
  <c r="P17" i="3"/>
  <c r="X17" i="3" s="1"/>
  <c r="P18" i="3"/>
  <c r="X18" i="3" s="1"/>
  <c r="P19" i="3"/>
  <c r="X19" i="3" s="1"/>
  <c r="P20" i="3"/>
  <c r="X20" i="3" s="1"/>
  <c r="P21" i="3"/>
  <c r="X21" i="3" s="1"/>
  <c r="P22" i="3"/>
  <c r="X22" i="3" s="1"/>
  <c r="P23" i="3"/>
  <c r="X23" i="3" s="1"/>
  <c r="P24" i="3"/>
  <c r="X24" i="3" s="1"/>
  <c r="P25" i="3"/>
  <c r="X25" i="3" s="1"/>
  <c r="P26" i="3"/>
  <c r="X26" i="3" s="1"/>
  <c r="P27" i="3"/>
  <c r="X27" i="3" s="1"/>
  <c r="P28" i="3"/>
  <c r="X28" i="3" s="1"/>
  <c r="P29" i="3"/>
  <c r="X29" i="3" s="1"/>
  <c r="P30" i="3"/>
  <c r="X30" i="3" s="1"/>
  <c r="P31" i="3"/>
  <c r="X31" i="3" s="1"/>
  <c r="P32" i="3"/>
  <c r="X32" i="3" s="1"/>
  <c r="P33" i="3"/>
  <c r="X33" i="3" s="1"/>
  <c r="P34" i="3"/>
  <c r="X34" i="3" s="1"/>
  <c r="P35" i="3"/>
  <c r="X35" i="3" s="1"/>
  <c r="P36" i="3"/>
  <c r="X36" i="3" s="1"/>
  <c r="P37" i="3"/>
  <c r="X37" i="3" s="1"/>
  <c r="P38" i="3"/>
  <c r="X38" i="3" s="1"/>
  <c r="P39" i="3"/>
  <c r="X39" i="3" s="1"/>
  <c r="P40" i="3"/>
  <c r="X40" i="3" s="1"/>
  <c r="P41" i="3"/>
  <c r="X41" i="3" s="1"/>
  <c r="P42" i="3"/>
  <c r="X42" i="3" s="1"/>
  <c r="P43" i="3"/>
  <c r="X43" i="3" s="1"/>
  <c r="P44" i="3"/>
  <c r="X44" i="3" s="1"/>
  <c r="P45" i="3"/>
  <c r="X45" i="3" s="1"/>
  <c r="P46" i="3"/>
  <c r="X46" i="3" s="1"/>
  <c r="P47" i="3"/>
  <c r="X47" i="3" s="1"/>
  <c r="P48" i="3"/>
  <c r="X48" i="3" s="1"/>
  <c r="P49" i="3"/>
  <c r="X49" i="3" s="1"/>
  <c r="P50" i="3"/>
  <c r="X50" i="3" s="1"/>
  <c r="P51" i="3"/>
  <c r="X51" i="3" s="1"/>
  <c r="P52" i="3"/>
  <c r="X52" i="3" s="1"/>
  <c r="P53" i="3"/>
  <c r="X53" i="3" s="1"/>
  <c r="P54" i="3"/>
  <c r="X54" i="3" s="1"/>
  <c r="P55" i="3"/>
  <c r="X55" i="3" s="1"/>
  <c r="P56" i="3"/>
  <c r="X56" i="3" s="1"/>
  <c r="P57" i="3"/>
  <c r="X57" i="3" s="1"/>
  <c r="P58" i="3"/>
  <c r="X58" i="3" s="1"/>
  <c r="P59" i="3"/>
  <c r="X59" i="3" s="1"/>
  <c r="P60" i="3"/>
  <c r="X60" i="3" s="1"/>
  <c r="P61" i="3"/>
  <c r="X61" i="3" s="1"/>
  <c r="P62" i="3"/>
  <c r="X62" i="3" s="1"/>
  <c r="P63" i="3"/>
  <c r="X63" i="3" s="1"/>
  <c r="P64" i="3"/>
  <c r="X64" i="3" s="1"/>
  <c r="P65" i="3"/>
  <c r="X65" i="3" s="1"/>
  <c r="P66" i="3"/>
  <c r="X66" i="3" s="1"/>
  <c r="P67" i="3"/>
  <c r="X67" i="3" s="1"/>
  <c r="P68" i="3"/>
  <c r="X68" i="3" s="1"/>
  <c r="P69" i="3"/>
  <c r="X69" i="3" s="1"/>
  <c r="P70" i="3"/>
  <c r="X70" i="3" s="1"/>
  <c r="P71" i="3"/>
  <c r="X71" i="3" s="1"/>
  <c r="P72" i="3"/>
  <c r="X72" i="3" s="1"/>
  <c r="P73" i="3"/>
  <c r="X73" i="3" s="1"/>
  <c r="P74" i="3"/>
  <c r="X74" i="3" s="1"/>
  <c r="P75" i="3"/>
  <c r="X75" i="3" s="1"/>
  <c r="P76" i="3"/>
  <c r="X76" i="3" s="1"/>
  <c r="P77" i="3"/>
  <c r="X77" i="3" s="1"/>
  <c r="P78" i="3"/>
  <c r="X78" i="3" s="1"/>
  <c r="P79" i="3"/>
  <c r="X79" i="3" s="1"/>
  <c r="P80" i="3"/>
  <c r="X80" i="3" s="1"/>
  <c r="P81" i="3"/>
  <c r="X81" i="3" s="1"/>
  <c r="P82" i="3"/>
  <c r="X82" i="3" s="1"/>
  <c r="P83" i="3"/>
  <c r="X83" i="3" s="1"/>
  <c r="P84" i="3"/>
  <c r="X84" i="3" s="1"/>
  <c r="P85" i="3"/>
  <c r="X85" i="3" s="1"/>
  <c r="P86" i="3"/>
  <c r="X86" i="3" s="1"/>
  <c r="P87" i="3"/>
  <c r="X87" i="3" s="1"/>
  <c r="P88" i="3"/>
  <c r="X88" i="3" s="1"/>
  <c r="P89" i="3"/>
  <c r="X89" i="3" s="1"/>
  <c r="P90" i="3"/>
  <c r="X90" i="3" s="1"/>
  <c r="P91" i="3"/>
  <c r="X91" i="3" s="1"/>
  <c r="P92" i="3"/>
  <c r="X92" i="3" s="1"/>
  <c r="P93" i="3"/>
  <c r="X93" i="3" s="1"/>
  <c r="P94" i="3"/>
  <c r="X94" i="3" s="1"/>
  <c r="P95" i="3"/>
  <c r="X95" i="3" s="1"/>
  <c r="P96" i="3"/>
  <c r="X96" i="3" s="1"/>
  <c r="P97" i="3"/>
  <c r="X97" i="3" s="1"/>
  <c r="P98" i="3"/>
  <c r="X98" i="3" s="1"/>
  <c r="P99" i="3"/>
  <c r="X99" i="3" s="1"/>
  <c r="P100" i="3"/>
  <c r="X100" i="3" s="1"/>
  <c r="P101" i="3"/>
  <c r="X101" i="3" s="1"/>
  <c r="P102" i="3"/>
  <c r="X102" i="3" s="1"/>
  <c r="P103" i="3"/>
  <c r="X103" i="3" s="1"/>
  <c r="P104" i="3"/>
  <c r="X104" i="3" s="1"/>
  <c r="P105" i="3"/>
  <c r="X105" i="3" s="1"/>
  <c r="P106" i="3"/>
  <c r="X106" i="3" s="1"/>
  <c r="P107" i="3"/>
  <c r="X107" i="3" s="1"/>
  <c r="P108" i="3"/>
  <c r="X108" i="3" s="1"/>
  <c r="P109" i="3"/>
  <c r="X109" i="3" s="1"/>
  <c r="P110" i="3"/>
  <c r="X110" i="3" s="1"/>
  <c r="P111" i="3"/>
  <c r="X111" i="3" s="1"/>
  <c r="P112" i="3"/>
  <c r="X112" i="3" s="1"/>
  <c r="P113" i="3"/>
  <c r="X113" i="3" s="1"/>
  <c r="P114" i="3"/>
  <c r="X114" i="3" s="1"/>
  <c r="P115" i="3"/>
  <c r="X115" i="3" s="1"/>
  <c r="P116" i="3"/>
  <c r="X116" i="3" s="1"/>
  <c r="P117" i="3"/>
  <c r="X117" i="3" s="1"/>
  <c r="P118" i="3"/>
  <c r="X118" i="3" s="1"/>
  <c r="P119" i="3"/>
  <c r="X119" i="3" s="1"/>
  <c r="P120" i="3"/>
  <c r="X120" i="3" s="1"/>
  <c r="P121" i="3"/>
  <c r="X121" i="3" s="1"/>
  <c r="P122" i="3"/>
  <c r="X122" i="3" s="1"/>
  <c r="P123" i="3"/>
  <c r="X123" i="3" s="1"/>
  <c r="P124" i="3"/>
  <c r="X124" i="3" s="1"/>
  <c r="P125" i="3"/>
  <c r="X125" i="3" s="1"/>
  <c r="P126" i="3"/>
  <c r="X126" i="3" s="1"/>
  <c r="P127" i="3"/>
  <c r="X127" i="3" s="1"/>
  <c r="P128" i="3"/>
  <c r="X128" i="3" s="1"/>
  <c r="P129" i="3"/>
  <c r="X129" i="3" s="1"/>
  <c r="P130" i="3"/>
  <c r="X130" i="3" s="1"/>
  <c r="P131" i="3"/>
  <c r="X131" i="3" s="1"/>
  <c r="P132" i="3"/>
  <c r="X132" i="3" s="1"/>
  <c r="P133" i="3"/>
  <c r="X133" i="3" s="1"/>
  <c r="P134" i="3"/>
  <c r="X134" i="3" s="1"/>
  <c r="P135" i="3"/>
  <c r="X135" i="3" s="1"/>
  <c r="P136" i="3"/>
  <c r="X136" i="3" s="1"/>
  <c r="P137" i="3"/>
  <c r="X137" i="3" s="1"/>
  <c r="P138" i="3"/>
  <c r="X138" i="3" s="1"/>
  <c r="P139" i="3"/>
  <c r="X139" i="3" s="1"/>
  <c r="P140" i="3"/>
  <c r="X140" i="3" s="1"/>
  <c r="P141" i="3"/>
  <c r="X141" i="3" s="1"/>
  <c r="P142" i="3"/>
  <c r="X142" i="3" s="1"/>
  <c r="P143" i="3"/>
  <c r="X143" i="3" s="1"/>
  <c r="P144" i="3"/>
  <c r="X144" i="3" s="1"/>
  <c r="P145" i="3"/>
  <c r="X145" i="3" s="1"/>
  <c r="P146" i="3"/>
  <c r="X146" i="3" s="1"/>
  <c r="P147" i="3"/>
  <c r="X147" i="3" s="1"/>
  <c r="P148" i="3"/>
  <c r="X148" i="3" s="1"/>
  <c r="P149" i="3"/>
  <c r="X149" i="3" s="1"/>
  <c r="P150" i="3"/>
  <c r="X150" i="3" s="1"/>
  <c r="P151" i="3"/>
  <c r="X151" i="3" s="1"/>
  <c r="P152" i="3"/>
  <c r="X152" i="3" s="1"/>
  <c r="P153" i="3"/>
  <c r="X153" i="3" s="1"/>
  <c r="P154" i="3"/>
  <c r="X154" i="3" s="1"/>
  <c r="P155" i="3"/>
  <c r="X155" i="3" s="1"/>
  <c r="P156" i="3"/>
  <c r="X156" i="3" s="1"/>
  <c r="P157" i="3"/>
  <c r="X157" i="3" s="1"/>
  <c r="P158" i="3"/>
  <c r="X158" i="3" s="1"/>
  <c r="P159" i="3"/>
  <c r="X159" i="3" s="1"/>
  <c r="P160" i="3"/>
  <c r="X160" i="3" s="1"/>
  <c r="P161" i="3"/>
  <c r="X161" i="3" s="1"/>
  <c r="P162" i="3"/>
  <c r="X162" i="3" s="1"/>
  <c r="P163" i="3"/>
  <c r="X163" i="3" s="1"/>
  <c r="P164" i="3"/>
  <c r="X164" i="3" s="1"/>
  <c r="P165" i="3"/>
  <c r="X165" i="3" s="1"/>
  <c r="P166" i="3"/>
  <c r="X166" i="3" s="1"/>
  <c r="P167" i="3"/>
  <c r="X167" i="3" s="1"/>
  <c r="P168" i="3"/>
  <c r="X168" i="3" s="1"/>
  <c r="P169" i="3"/>
  <c r="X169" i="3" s="1"/>
  <c r="P170" i="3"/>
  <c r="X170" i="3" s="1"/>
  <c r="P171" i="3"/>
  <c r="X171" i="3" s="1"/>
  <c r="P172" i="3"/>
  <c r="X172" i="3" s="1"/>
  <c r="P173" i="3"/>
  <c r="X173" i="3" s="1"/>
  <c r="P174" i="3"/>
  <c r="X174" i="3" s="1"/>
  <c r="P175" i="3"/>
  <c r="X175" i="3" s="1"/>
  <c r="P176" i="3"/>
  <c r="X176" i="3" s="1"/>
  <c r="P177" i="3"/>
  <c r="X177" i="3" s="1"/>
  <c r="P178" i="3"/>
  <c r="X178" i="3" s="1"/>
  <c r="P179" i="3"/>
  <c r="X179" i="3" s="1"/>
  <c r="P180" i="3"/>
  <c r="X180" i="3" s="1"/>
  <c r="P181" i="3"/>
  <c r="X181" i="3" s="1"/>
  <c r="P182" i="3"/>
  <c r="X182" i="3" s="1"/>
  <c r="P183" i="3"/>
  <c r="X183" i="3" s="1"/>
  <c r="P184" i="3"/>
  <c r="X184" i="3" s="1"/>
  <c r="P185" i="3"/>
  <c r="X185" i="3" s="1"/>
  <c r="P186" i="3"/>
  <c r="X186" i="3" s="1"/>
  <c r="P187" i="3"/>
  <c r="X187" i="3" s="1"/>
  <c r="P188" i="3"/>
  <c r="X188" i="3" s="1"/>
  <c r="P189" i="3"/>
  <c r="X189" i="3" s="1"/>
  <c r="P190" i="3"/>
  <c r="X190" i="3" s="1"/>
  <c r="P191" i="3"/>
  <c r="X191" i="3" s="1"/>
  <c r="P192" i="3"/>
  <c r="X192" i="3" s="1"/>
  <c r="P193" i="3"/>
  <c r="X193" i="3" s="1"/>
  <c r="P194" i="3"/>
  <c r="X194" i="3" s="1"/>
  <c r="P195" i="3"/>
  <c r="X195" i="3" s="1"/>
  <c r="P196" i="3"/>
  <c r="X196" i="3" s="1"/>
  <c r="P197" i="3"/>
  <c r="X197" i="3" s="1"/>
  <c r="P198" i="3"/>
  <c r="X198" i="3" s="1"/>
  <c r="P199" i="3"/>
  <c r="X199" i="3" s="1"/>
  <c r="P200" i="3"/>
  <c r="X200" i="3" s="1"/>
  <c r="P201" i="3"/>
  <c r="X201" i="3" s="1"/>
  <c r="P202" i="3"/>
  <c r="X202" i="3" s="1"/>
  <c r="P203" i="3"/>
  <c r="X203" i="3" s="1"/>
  <c r="P8" i="3"/>
  <c r="U9" i="3"/>
  <c r="U10" i="3"/>
  <c r="U11" i="3"/>
  <c r="U12" i="3"/>
  <c r="U13" i="3"/>
  <c r="U14" i="3"/>
  <c r="U15" i="3"/>
  <c r="U16" i="3"/>
  <c r="U17" i="3"/>
  <c r="U18" i="3"/>
  <c r="U19" i="3"/>
  <c r="U20" i="3"/>
  <c r="U21" i="3"/>
  <c r="U22" i="3"/>
  <c r="U23" i="3"/>
  <c r="U24" i="3"/>
  <c r="U25" i="3"/>
  <c r="U26" i="3"/>
  <c r="U27" i="3"/>
  <c r="U28" i="3"/>
  <c r="U29" i="3"/>
  <c r="U30" i="3"/>
  <c r="U31" i="3"/>
  <c r="U32" i="3"/>
  <c r="U33" i="3"/>
  <c r="U34" i="3"/>
  <c r="U35" i="3"/>
  <c r="U36" i="3"/>
  <c r="U37" i="3"/>
  <c r="U38" i="3"/>
  <c r="U39" i="3"/>
  <c r="U40" i="3"/>
  <c r="U41" i="3"/>
  <c r="U42" i="3"/>
  <c r="U43" i="3"/>
  <c r="U44" i="3"/>
  <c r="U45" i="3"/>
  <c r="U46" i="3"/>
  <c r="U47" i="3"/>
  <c r="U48" i="3"/>
  <c r="U49" i="3"/>
  <c r="U50" i="3"/>
  <c r="U51" i="3"/>
  <c r="U52" i="3"/>
  <c r="U53" i="3"/>
  <c r="U54" i="3"/>
  <c r="U55" i="3"/>
  <c r="U56" i="3"/>
  <c r="U57" i="3"/>
  <c r="U58" i="3"/>
  <c r="U59" i="3"/>
  <c r="U60" i="3"/>
  <c r="U61" i="3"/>
  <c r="U62" i="3"/>
  <c r="U63" i="3"/>
  <c r="U64" i="3"/>
  <c r="U65" i="3"/>
  <c r="U66" i="3"/>
  <c r="U67" i="3"/>
  <c r="U68" i="3"/>
  <c r="U69" i="3"/>
  <c r="U70" i="3"/>
  <c r="U71" i="3"/>
  <c r="U72" i="3"/>
  <c r="U73" i="3"/>
  <c r="U74" i="3"/>
  <c r="U75" i="3"/>
  <c r="U76" i="3"/>
  <c r="U77" i="3"/>
  <c r="U78" i="3"/>
  <c r="U79" i="3"/>
  <c r="U80" i="3"/>
  <c r="U81" i="3"/>
  <c r="U82" i="3"/>
  <c r="U83" i="3"/>
  <c r="U84" i="3"/>
  <c r="U85" i="3"/>
  <c r="U86" i="3"/>
  <c r="U87" i="3"/>
  <c r="U88" i="3"/>
  <c r="U89" i="3"/>
  <c r="U90" i="3"/>
  <c r="U91" i="3"/>
  <c r="U92" i="3"/>
  <c r="U93" i="3"/>
  <c r="U94" i="3"/>
  <c r="U95" i="3"/>
  <c r="U96" i="3"/>
  <c r="U97" i="3"/>
  <c r="U98" i="3"/>
  <c r="U99" i="3"/>
  <c r="U100" i="3"/>
  <c r="U101" i="3"/>
  <c r="U102" i="3"/>
  <c r="U103" i="3"/>
  <c r="U104" i="3"/>
  <c r="U105" i="3"/>
  <c r="U106" i="3"/>
  <c r="U107" i="3"/>
  <c r="U108" i="3"/>
  <c r="U109" i="3"/>
  <c r="U110" i="3"/>
  <c r="U111" i="3"/>
  <c r="U112" i="3"/>
  <c r="U113" i="3"/>
  <c r="U114" i="3"/>
  <c r="U115" i="3"/>
  <c r="U116" i="3"/>
  <c r="U117" i="3"/>
  <c r="U118" i="3"/>
  <c r="U119" i="3"/>
  <c r="U120" i="3"/>
  <c r="U121" i="3"/>
  <c r="U122" i="3"/>
  <c r="U123" i="3"/>
  <c r="U124" i="3"/>
  <c r="U125" i="3"/>
  <c r="U126" i="3"/>
  <c r="U127" i="3"/>
  <c r="U128" i="3"/>
  <c r="U129" i="3"/>
  <c r="U130" i="3"/>
  <c r="U131" i="3"/>
  <c r="U132" i="3"/>
  <c r="U133" i="3"/>
  <c r="U134" i="3"/>
  <c r="U135" i="3"/>
  <c r="U136" i="3"/>
  <c r="U137" i="3"/>
  <c r="U138" i="3"/>
  <c r="U139" i="3"/>
  <c r="U140" i="3"/>
  <c r="U141" i="3"/>
  <c r="U142" i="3"/>
  <c r="U143" i="3"/>
  <c r="U144" i="3"/>
  <c r="U145" i="3"/>
  <c r="U146" i="3"/>
  <c r="U147" i="3"/>
  <c r="U148" i="3"/>
  <c r="U149" i="3"/>
  <c r="U150" i="3"/>
  <c r="U151" i="3"/>
  <c r="U152" i="3"/>
  <c r="U153" i="3"/>
  <c r="U154" i="3"/>
  <c r="U155" i="3"/>
  <c r="U156" i="3"/>
  <c r="U157" i="3"/>
  <c r="U158" i="3"/>
  <c r="U159" i="3"/>
  <c r="U160" i="3"/>
  <c r="U161" i="3"/>
  <c r="U162" i="3"/>
  <c r="U163" i="3"/>
  <c r="U164" i="3"/>
  <c r="U165" i="3"/>
  <c r="U166" i="3"/>
  <c r="U167" i="3"/>
  <c r="U168" i="3"/>
  <c r="U169" i="3"/>
  <c r="U170" i="3"/>
  <c r="U171" i="3"/>
  <c r="U172" i="3"/>
  <c r="U173" i="3"/>
  <c r="U174" i="3"/>
  <c r="U175" i="3"/>
  <c r="U176" i="3"/>
  <c r="U177" i="3"/>
  <c r="U178" i="3"/>
  <c r="U179" i="3"/>
  <c r="U180" i="3"/>
  <c r="U181" i="3"/>
  <c r="U182" i="3"/>
  <c r="U183" i="3"/>
  <c r="U184" i="3"/>
  <c r="U185" i="3"/>
  <c r="U186" i="3"/>
  <c r="U187" i="3"/>
  <c r="U188" i="3"/>
  <c r="U189" i="3"/>
  <c r="U190" i="3"/>
  <c r="U191" i="3"/>
  <c r="U192" i="3"/>
  <c r="U193" i="3"/>
  <c r="U194" i="3"/>
  <c r="U195" i="3"/>
  <c r="U196" i="3"/>
  <c r="U197" i="3"/>
  <c r="U198" i="3"/>
  <c r="U199" i="3"/>
  <c r="U200" i="3"/>
  <c r="U201" i="3"/>
  <c r="U202" i="3"/>
  <c r="U203" i="3"/>
  <c r="U8" i="3"/>
  <c r="R9" i="3"/>
  <c r="BG9" i="3" s="1"/>
  <c r="R10" i="3"/>
  <c r="BG10" i="3" s="1"/>
  <c r="R11" i="3"/>
  <c r="BG11" i="3" s="1"/>
  <c r="R12" i="3"/>
  <c r="BG12" i="3" s="1"/>
  <c r="R13" i="3"/>
  <c r="BG13" i="3" s="1"/>
  <c r="R14" i="3"/>
  <c r="BG14" i="3" s="1"/>
  <c r="R15" i="3"/>
  <c r="BG15" i="3" s="1"/>
  <c r="R16" i="3"/>
  <c r="BG16" i="3" s="1"/>
  <c r="R17" i="3"/>
  <c r="BG17" i="3" s="1"/>
  <c r="R18" i="3"/>
  <c r="BG18" i="3" s="1"/>
  <c r="R19" i="3"/>
  <c r="BG19" i="3" s="1"/>
  <c r="R20" i="3"/>
  <c r="BG20" i="3" s="1"/>
  <c r="R21" i="3"/>
  <c r="BG21" i="3" s="1"/>
  <c r="R22" i="3"/>
  <c r="BG22" i="3" s="1"/>
  <c r="R23" i="3"/>
  <c r="BG23" i="3" s="1"/>
  <c r="R24" i="3"/>
  <c r="BG24" i="3" s="1"/>
  <c r="R25" i="3"/>
  <c r="BG25" i="3" s="1"/>
  <c r="R26" i="3"/>
  <c r="BG26" i="3" s="1"/>
  <c r="R27" i="3"/>
  <c r="BG27" i="3" s="1"/>
  <c r="R28" i="3"/>
  <c r="BG28" i="3" s="1"/>
  <c r="R29" i="3"/>
  <c r="BG29" i="3" s="1"/>
  <c r="R30" i="3"/>
  <c r="BG30" i="3" s="1"/>
  <c r="R31" i="3"/>
  <c r="BG31" i="3" s="1"/>
  <c r="R32" i="3"/>
  <c r="BG32" i="3" s="1"/>
  <c r="R33" i="3"/>
  <c r="BG33" i="3" s="1"/>
  <c r="R34" i="3"/>
  <c r="BG34" i="3" s="1"/>
  <c r="R35" i="3"/>
  <c r="BG35" i="3" s="1"/>
  <c r="R36" i="3"/>
  <c r="BG36" i="3" s="1"/>
  <c r="R37" i="3"/>
  <c r="BG37" i="3" s="1"/>
  <c r="R38" i="3"/>
  <c r="BG38" i="3" s="1"/>
  <c r="R39" i="3"/>
  <c r="BG39" i="3" s="1"/>
  <c r="R40" i="3"/>
  <c r="BG40" i="3" s="1"/>
  <c r="R41" i="3"/>
  <c r="BG41" i="3" s="1"/>
  <c r="R42" i="3"/>
  <c r="BG42" i="3" s="1"/>
  <c r="R43" i="3"/>
  <c r="BG43" i="3" s="1"/>
  <c r="R44" i="3"/>
  <c r="BG44" i="3" s="1"/>
  <c r="R45" i="3"/>
  <c r="BG45" i="3" s="1"/>
  <c r="R46" i="3"/>
  <c r="BG46" i="3" s="1"/>
  <c r="R47" i="3"/>
  <c r="BG47" i="3" s="1"/>
  <c r="R48" i="3"/>
  <c r="BG48" i="3" s="1"/>
  <c r="R49" i="3"/>
  <c r="BG49" i="3" s="1"/>
  <c r="R50" i="3"/>
  <c r="BG50" i="3" s="1"/>
  <c r="R51" i="3"/>
  <c r="BG51" i="3" s="1"/>
  <c r="R52" i="3"/>
  <c r="BG52" i="3" s="1"/>
  <c r="R53" i="3"/>
  <c r="BG53" i="3" s="1"/>
  <c r="R54" i="3"/>
  <c r="BG54" i="3" s="1"/>
  <c r="R55" i="3"/>
  <c r="BG55" i="3" s="1"/>
  <c r="R56" i="3"/>
  <c r="BG56" i="3" s="1"/>
  <c r="R57" i="3"/>
  <c r="BG57" i="3" s="1"/>
  <c r="R58" i="3"/>
  <c r="BG58" i="3" s="1"/>
  <c r="R59" i="3"/>
  <c r="BG59" i="3" s="1"/>
  <c r="R60" i="3"/>
  <c r="BG60" i="3" s="1"/>
  <c r="R61" i="3"/>
  <c r="BG61" i="3" s="1"/>
  <c r="R62" i="3"/>
  <c r="BG62" i="3" s="1"/>
  <c r="R63" i="3"/>
  <c r="BG63" i="3" s="1"/>
  <c r="R64" i="3"/>
  <c r="BG64" i="3" s="1"/>
  <c r="R65" i="3"/>
  <c r="BG65" i="3" s="1"/>
  <c r="R66" i="3"/>
  <c r="BG66" i="3" s="1"/>
  <c r="R67" i="3"/>
  <c r="BG67" i="3" s="1"/>
  <c r="R68" i="3"/>
  <c r="BG68" i="3" s="1"/>
  <c r="R69" i="3"/>
  <c r="BG69" i="3" s="1"/>
  <c r="R70" i="3"/>
  <c r="BG70" i="3" s="1"/>
  <c r="R71" i="3"/>
  <c r="BG71" i="3" s="1"/>
  <c r="R72" i="3"/>
  <c r="BG72" i="3" s="1"/>
  <c r="R73" i="3"/>
  <c r="BG73" i="3" s="1"/>
  <c r="R74" i="3"/>
  <c r="BG74" i="3" s="1"/>
  <c r="R75" i="3"/>
  <c r="BG75" i="3" s="1"/>
  <c r="R76" i="3"/>
  <c r="BG76" i="3" s="1"/>
  <c r="R77" i="3"/>
  <c r="BG77" i="3" s="1"/>
  <c r="R78" i="3"/>
  <c r="BG78" i="3" s="1"/>
  <c r="R79" i="3"/>
  <c r="BG79" i="3" s="1"/>
  <c r="R80" i="3"/>
  <c r="BG80" i="3" s="1"/>
  <c r="R81" i="3"/>
  <c r="BG81" i="3" s="1"/>
  <c r="R82" i="3"/>
  <c r="BG82" i="3" s="1"/>
  <c r="R83" i="3"/>
  <c r="BG83" i="3" s="1"/>
  <c r="R84" i="3"/>
  <c r="BG84" i="3" s="1"/>
  <c r="R85" i="3"/>
  <c r="BG85" i="3" s="1"/>
  <c r="R86" i="3"/>
  <c r="BG86" i="3" s="1"/>
  <c r="R87" i="3"/>
  <c r="BG87" i="3" s="1"/>
  <c r="R88" i="3"/>
  <c r="BG88" i="3" s="1"/>
  <c r="R89" i="3"/>
  <c r="BG89" i="3" s="1"/>
  <c r="R90" i="3"/>
  <c r="BG90" i="3" s="1"/>
  <c r="R91" i="3"/>
  <c r="BG91" i="3" s="1"/>
  <c r="R92" i="3"/>
  <c r="BG92" i="3" s="1"/>
  <c r="R93" i="3"/>
  <c r="BG93" i="3" s="1"/>
  <c r="R94" i="3"/>
  <c r="BG94" i="3" s="1"/>
  <c r="R95" i="3"/>
  <c r="BG95" i="3" s="1"/>
  <c r="R96" i="3"/>
  <c r="BG96" i="3" s="1"/>
  <c r="R97" i="3"/>
  <c r="BG97" i="3" s="1"/>
  <c r="R98" i="3"/>
  <c r="BG98" i="3" s="1"/>
  <c r="R99" i="3"/>
  <c r="BG99" i="3" s="1"/>
  <c r="R100" i="3"/>
  <c r="BG100" i="3" s="1"/>
  <c r="R101" i="3"/>
  <c r="BG101" i="3" s="1"/>
  <c r="R102" i="3"/>
  <c r="BG102" i="3" s="1"/>
  <c r="R103" i="3"/>
  <c r="BG103" i="3" s="1"/>
  <c r="R104" i="3"/>
  <c r="BG104" i="3" s="1"/>
  <c r="R105" i="3"/>
  <c r="BG105" i="3" s="1"/>
  <c r="R106" i="3"/>
  <c r="BG106" i="3" s="1"/>
  <c r="R107" i="3"/>
  <c r="BG107" i="3" s="1"/>
  <c r="R108" i="3"/>
  <c r="BG108" i="3" s="1"/>
  <c r="R109" i="3"/>
  <c r="BG109" i="3" s="1"/>
  <c r="R110" i="3"/>
  <c r="BG110" i="3" s="1"/>
  <c r="R111" i="3"/>
  <c r="BG111" i="3" s="1"/>
  <c r="R112" i="3"/>
  <c r="BG112" i="3" s="1"/>
  <c r="R113" i="3"/>
  <c r="BG113" i="3" s="1"/>
  <c r="R114" i="3"/>
  <c r="BG114" i="3" s="1"/>
  <c r="R115" i="3"/>
  <c r="BG115" i="3" s="1"/>
  <c r="R116" i="3"/>
  <c r="BG116" i="3" s="1"/>
  <c r="R117" i="3"/>
  <c r="BG117" i="3" s="1"/>
  <c r="R118" i="3"/>
  <c r="BG118" i="3" s="1"/>
  <c r="R119" i="3"/>
  <c r="BG119" i="3" s="1"/>
  <c r="R120" i="3"/>
  <c r="BG120" i="3" s="1"/>
  <c r="R121" i="3"/>
  <c r="BG121" i="3" s="1"/>
  <c r="R122" i="3"/>
  <c r="BG122" i="3" s="1"/>
  <c r="R123" i="3"/>
  <c r="BG123" i="3" s="1"/>
  <c r="R124" i="3"/>
  <c r="BG124" i="3" s="1"/>
  <c r="R125" i="3"/>
  <c r="BG125" i="3" s="1"/>
  <c r="R126" i="3"/>
  <c r="BG126" i="3" s="1"/>
  <c r="R127" i="3"/>
  <c r="BG127" i="3" s="1"/>
  <c r="R128" i="3"/>
  <c r="BG128" i="3" s="1"/>
  <c r="R129" i="3"/>
  <c r="BG129" i="3" s="1"/>
  <c r="R130" i="3"/>
  <c r="BG130" i="3" s="1"/>
  <c r="R131" i="3"/>
  <c r="BG131" i="3" s="1"/>
  <c r="R132" i="3"/>
  <c r="BG132" i="3" s="1"/>
  <c r="R133" i="3"/>
  <c r="BG133" i="3" s="1"/>
  <c r="R134" i="3"/>
  <c r="BG134" i="3" s="1"/>
  <c r="R135" i="3"/>
  <c r="BG135" i="3" s="1"/>
  <c r="R136" i="3"/>
  <c r="BG136" i="3" s="1"/>
  <c r="R137" i="3"/>
  <c r="BG137" i="3" s="1"/>
  <c r="R138" i="3"/>
  <c r="BG138" i="3" s="1"/>
  <c r="R139" i="3"/>
  <c r="BG139" i="3" s="1"/>
  <c r="R140" i="3"/>
  <c r="BG140" i="3" s="1"/>
  <c r="R141" i="3"/>
  <c r="BG141" i="3" s="1"/>
  <c r="R142" i="3"/>
  <c r="BG142" i="3" s="1"/>
  <c r="R143" i="3"/>
  <c r="BG143" i="3" s="1"/>
  <c r="R144" i="3"/>
  <c r="BG144" i="3" s="1"/>
  <c r="R145" i="3"/>
  <c r="BG145" i="3" s="1"/>
  <c r="R146" i="3"/>
  <c r="BG146" i="3" s="1"/>
  <c r="R147" i="3"/>
  <c r="BG147" i="3" s="1"/>
  <c r="R148" i="3"/>
  <c r="BG148" i="3" s="1"/>
  <c r="R149" i="3"/>
  <c r="BG149" i="3" s="1"/>
  <c r="R150" i="3"/>
  <c r="BG150" i="3" s="1"/>
  <c r="R151" i="3"/>
  <c r="BG151" i="3" s="1"/>
  <c r="R152" i="3"/>
  <c r="BG152" i="3" s="1"/>
  <c r="R153" i="3"/>
  <c r="BG153" i="3" s="1"/>
  <c r="R154" i="3"/>
  <c r="BG154" i="3" s="1"/>
  <c r="R155" i="3"/>
  <c r="BG155" i="3" s="1"/>
  <c r="R156" i="3"/>
  <c r="BG156" i="3" s="1"/>
  <c r="R157" i="3"/>
  <c r="BG157" i="3" s="1"/>
  <c r="R158" i="3"/>
  <c r="BG158" i="3" s="1"/>
  <c r="R159" i="3"/>
  <c r="BG159" i="3" s="1"/>
  <c r="R160" i="3"/>
  <c r="BG160" i="3" s="1"/>
  <c r="R161" i="3"/>
  <c r="BG161" i="3" s="1"/>
  <c r="R162" i="3"/>
  <c r="BG162" i="3" s="1"/>
  <c r="R163" i="3"/>
  <c r="BG163" i="3" s="1"/>
  <c r="R164" i="3"/>
  <c r="BG164" i="3" s="1"/>
  <c r="R165" i="3"/>
  <c r="BG165" i="3" s="1"/>
  <c r="R166" i="3"/>
  <c r="BG166" i="3" s="1"/>
  <c r="R167" i="3"/>
  <c r="BG167" i="3" s="1"/>
  <c r="R168" i="3"/>
  <c r="BG168" i="3" s="1"/>
  <c r="R169" i="3"/>
  <c r="BG169" i="3" s="1"/>
  <c r="R170" i="3"/>
  <c r="BG170" i="3" s="1"/>
  <c r="R171" i="3"/>
  <c r="BG171" i="3" s="1"/>
  <c r="R172" i="3"/>
  <c r="BG172" i="3" s="1"/>
  <c r="R173" i="3"/>
  <c r="BG173" i="3" s="1"/>
  <c r="R174" i="3"/>
  <c r="BG174" i="3" s="1"/>
  <c r="R175" i="3"/>
  <c r="BG175" i="3" s="1"/>
  <c r="R176" i="3"/>
  <c r="BG176" i="3" s="1"/>
  <c r="R177" i="3"/>
  <c r="BG177" i="3" s="1"/>
  <c r="R178" i="3"/>
  <c r="BG178" i="3" s="1"/>
  <c r="R179" i="3"/>
  <c r="BG179" i="3" s="1"/>
  <c r="R180" i="3"/>
  <c r="BG180" i="3" s="1"/>
  <c r="R181" i="3"/>
  <c r="BG181" i="3" s="1"/>
  <c r="R182" i="3"/>
  <c r="BG182" i="3" s="1"/>
  <c r="R183" i="3"/>
  <c r="BG183" i="3" s="1"/>
  <c r="R184" i="3"/>
  <c r="BG184" i="3" s="1"/>
  <c r="R185" i="3"/>
  <c r="BG185" i="3" s="1"/>
  <c r="R186" i="3"/>
  <c r="BG186" i="3" s="1"/>
  <c r="R187" i="3"/>
  <c r="BG187" i="3" s="1"/>
  <c r="R188" i="3"/>
  <c r="BG188" i="3" s="1"/>
  <c r="R189" i="3"/>
  <c r="BG189" i="3" s="1"/>
  <c r="R190" i="3"/>
  <c r="BG190" i="3" s="1"/>
  <c r="R191" i="3"/>
  <c r="BG191" i="3" s="1"/>
  <c r="R192" i="3"/>
  <c r="BG192" i="3" s="1"/>
  <c r="R193" i="3"/>
  <c r="BG193" i="3" s="1"/>
  <c r="R194" i="3"/>
  <c r="BG194" i="3" s="1"/>
  <c r="R195" i="3"/>
  <c r="BG195" i="3" s="1"/>
  <c r="R196" i="3"/>
  <c r="BG196" i="3" s="1"/>
  <c r="R197" i="3"/>
  <c r="BG197" i="3" s="1"/>
  <c r="R198" i="3"/>
  <c r="BG198" i="3" s="1"/>
  <c r="R199" i="3"/>
  <c r="BG199" i="3" s="1"/>
  <c r="R200" i="3"/>
  <c r="BG200" i="3" s="1"/>
  <c r="R201" i="3"/>
  <c r="BG201" i="3" s="1"/>
  <c r="R202" i="3"/>
  <c r="BG202" i="3" s="1"/>
  <c r="R203" i="3"/>
  <c r="BG203" i="3" s="1"/>
  <c r="R8" i="3"/>
  <c r="I140" i="3"/>
  <c r="Z140" i="3" s="1"/>
  <c r="I139" i="3"/>
  <c r="Z139" i="3" s="1"/>
  <c r="I138" i="3"/>
  <c r="Z138" i="3" s="1"/>
  <c r="H174" i="3"/>
  <c r="I174" i="3"/>
  <c r="H170" i="3"/>
  <c r="AE189" i="3" l="1"/>
  <c r="BF189" i="3"/>
  <c r="AE169" i="3"/>
  <c r="BF169" i="3"/>
  <c r="AE149" i="3"/>
  <c r="BF149" i="3"/>
  <c r="AE129" i="3"/>
  <c r="BF129" i="3"/>
  <c r="AE109" i="3"/>
  <c r="BF109" i="3"/>
  <c r="AE89" i="3"/>
  <c r="BF89" i="3"/>
  <c r="AE69" i="3"/>
  <c r="BF69" i="3"/>
  <c r="AE49" i="3"/>
  <c r="BF49" i="3"/>
  <c r="AE29" i="3"/>
  <c r="BF29" i="3"/>
  <c r="AE200" i="3"/>
  <c r="BF200" i="3"/>
  <c r="AE180" i="3"/>
  <c r="BF180" i="3"/>
  <c r="AE160" i="3"/>
  <c r="BF160" i="3"/>
  <c r="AE140" i="3"/>
  <c r="BF140" i="3"/>
  <c r="AE120" i="3"/>
  <c r="BF120" i="3"/>
  <c r="AE116" i="3"/>
  <c r="BF116" i="3"/>
  <c r="AE104" i="3"/>
  <c r="BF104" i="3"/>
  <c r="AE100" i="3"/>
  <c r="BF100" i="3"/>
  <c r="AE96" i="3"/>
  <c r="BF96" i="3"/>
  <c r="AE92" i="3"/>
  <c r="BF92" i="3"/>
  <c r="AE88" i="3"/>
  <c r="BF88" i="3"/>
  <c r="AE84" i="3"/>
  <c r="BF84" i="3"/>
  <c r="AE80" i="3"/>
  <c r="BF80" i="3"/>
  <c r="AE76" i="3"/>
  <c r="BF76" i="3"/>
  <c r="AE72" i="3"/>
  <c r="BF72" i="3"/>
  <c r="AE68" i="3"/>
  <c r="BF68" i="3"/>
  <c r="AE64" i="3"/>
  <c r="BF64" i="3"/>
  <c r="AE60" i="3"/>
  <c r="BF60" i="3"/>
  <c r="AE56" i="3"/>
  <c r="BF56" i="3"/>
  <c r="AE52" i="3"/>
  <c r="BF52" i="3"/>
  <c r="AE48" i="3"/>
  <c r="BF48" i="3"/>
  <c r="AE44" i="3"/>
  <c r="BF44" i="3"/>
  <c r="AE40" i="3"/>
  <c r="BF40" i="3"/>
  <c r="AE36" i="3"/>
  <c r="BF36" i="3"/>
  <c r="AE32" i="3"/>
  <c r="BF32" i="3"/>
  <c r="AE28" i="3"/>
  <c r="BF28" i="3"/>
  <c r="AE24" i="3"/>
  <c r="BF24" i="3"/>
  <c r="AE20" i="3"/>
  <c r="BF20" i="3"/>
  <c r="AE16" i="3"/>
  <c r="BF16" i="3"/>
  <c r="AE12" i="3"/>
  <c r="BF12" i="3"/>
  <c r="AE201" i="3"/>
  <c r="BF201" i="3"/>
  <c r="AE197" i="3"/>
  <c r="BF197" i="3"/>
  <c r="AE185" i="3"/>
  <c r="BF185" i="3"/>
  <c r="AE177" i="3"/>
  <c r="BF177" i="3"/>
  <c r="AE165" i="3"/>
  <c r="BF165" i="3"/>
  <c r="AE157" i="3"/>
  <c r="BF157" i="3"/>
  <c r="AE145" i="3"/>
  <c r="BF145" i="3"/>
  <c r="AE137" i="3"/>
  <c r="BF137" i="3"/>
  <c r="AE125" i="3"/>
  <c r="BF125" i="3"/>
  <c r="AE113" i="3"/>
  <c r="BF113" i="3"/>
  <c r="AE101" i="3"/>
  <c r="BF101" i="3"/>
  <c r="AE93" i="3"/>
  <c r="BF93" i="3"/>
  <c r="AE81" i="3"/>
  <c r="BF81" i="3"/>
  <c r="AE77" i="3"/>
  <c r="BF77" i="3"/>
  <c r="AE65" i="3"/>
  <c r="BF65" i="3"/>
  <c r="AE57" i="3"/>
  <c r="BF57" i="3"/>
  <c r="AE45" i="3"/>
  <c r="BF45" i="3"/>
  <c r="AE37" i="3"/>
  <c r="BF37" i="3"/>
  <c r="AE25" i="3"/>
  <c r="BF25" i="3"/>
  <c r="AE17" i="3"/>
  <c r="BF17" i="3"/>
  <c r="AE196" i="3"/>
  <c r="BF196" i="3"/>
  <c r="AE188" i="3"/>
  <c r="BF188" i="3"/>
  <c r="AE176" i="3"/>
  <c r="BF176" i="3"/>
  <c r="AE168" i="3"/>
  <c r="BF168" i="3"/>
  <c r="AE152" i="3"/>
  <c r="BF152" i="3"/>
  <c r="AE144" i="3"/>
  <c r="BF144" i="3"/>
  <c r="AE132" i="3"/>
  <c r="BF132" i="3"/>
  <c r="AE128" i="3"/>
  <c r="BF128" i="3"/>
  <c r="AE112" i="3"/>
  <c r="BF112" i="3"/>
  <c r="AE203" i="3"/>
  <c r="BF203" i="3"/>
  <c r="AE199" i="3"/>
  <c r="BF199" i="3"/>
  <c r="AE195" i="3"/>
  <c r="BF195" i="3"/>
  <c r="AE191" i="3"/>
  <c r="BF191" i="3"/>
  <c r="AE187" i="3"/>
  <c r="BF187" i="3"/>
  <c r="AE183" i="3"/>
  <c r="BF183" i="3"/>
  <c r="AE179" i="3"/>
  <c r="BF179" i="3"/>
  <c r="AE175" i="3"/>
  <c r="BF175" i="3"/>
  <c r="AE171" i="3"/>
  <c r="BF171" i="3"/>
  <c r="AE167" i="3"/>
  <c r="BF167" i="3"/>
  <c r="AE163" i="3"/>
  <c r="BF163" i="3"/>
  <c r="AE159" i="3"/>
  <c r="BF159" i="3"/>
  <c r="AE155" i="3"/>
  <c r="BF155" i="3"/>
  <c r="AE151" i="3"/>
  <c r="BF151" i="3"/>
  <c r="AE147" i="3"/>
  <c r="BF147" i="3"/>
  <c r="AE143" i="3"/>
  <c r="BF143" i="3"/>
  <c r="AE139" i="3"/>
  <c r="BF139" i="3"/>
  <c r="AE135" i="3"/>
  <c r="BF135" i="3"/>
  <c r="AE131" i="3"/>
  <c r="BF131" i="3"/>
  <c r="AE127" i="3"/>
  <c r="BF127" i="3"/>
  <c r="AE123" i="3"/>
  <c r="BF123" i="3"/>
  <c r="AE119" i="3"/>
  <c r="BF119" i="3"/>
  <c r="AE115" i="3"/>
  <c r="BF115" i="3"/>
  <c r="AE111" i="3"/>
  <c r="BF111" i="3"/>
  <c r="AE107" i="3"/>
  <c r="BF107" i="3"/>
  <c r="AE103" i="3"/>
  <c r="BF103" i="3"/>
  <c r="AE99" i="3"/>
  <c r="BF99" i="3"/>
  <c r="AE95" i="3"/>
  <c r="BF95" i="3"/>
  <c r="AE91" i="3"/>
  <c r="BF91" i="3"/>
  <c r="AE87" i="3"/>
  <c r="BF87" i="3"/>
  <c r="AE83" i="3"/>
  <c r="BF83" i="3"/>
  <c r="AE79" i="3"/>
  <c r="BF79" i="3"/>
  <c r="AE75" i="3"/>
  <c r="BF75" i="3"/>
  <c r="AE71" i="3"/>
  <c r="BF71" i="3"/>
  <c r="AE67" i="3"/>
  <c r="BF67" i="3"/>
  <c r="AE63" i="3"/>
  <c r="BF63" i="3"/>
  <c r="AE59" i="3"/>
  <c r="BF59" i="3"/>
  <c r="AE55" i="3"/>
  <c r="BF55" i="3"/>
  <c r="AE51" i="3"/>
  <c r="BF51" i="3"/>
  <c r="AE47" i="3"/>
  <c r="BF47" i="3"/>
  <c r="AE43" i="3"/>
  <c r="BF43" i="3"/>
  <c r="AE39" i="3"/>
  <c r="BF39" i="3"/>
  <c r="AE35" i="3"/>
  <c r="BF35" i="3"/>
  <c r="AE31" i="3"/>
  <c r="BF31" i="3"/>
  <c r="AE27" i="3"/>
  <c r="BF27" i="3"/>
  <c r="AE23" i="3"/>
  <c r="BF23" i="3"/>
  <c r="AE19" i="3"/>
  <c r="BF19" i="3"/>
  <c r="AE15" i="3"/>
  <c r="BF15" i="3"/>
  <c r="AE11" i="3"/>
  <c r="BF11" i="3"/>
  <c r="AE193" i="3"/>
  <c r="BF193" i="3"/>
  <c r="AE181" i="3"/>
  <c r="BF181" i="3"/>
  <c r="AE173" i="3"/>
  <c r="BF173" i="3"/>
  <c r="AE161" i="3"/>
  <c r="BF161" i="3"/>
  <c r="AE153" i="3"/>
  <c r="BF153" i="3"/>
  <c r="AE141" i="3"/>
  <c r="BF141" i="3"/>
  <c r="AE133" i="3"/>
  <c r="BF133" i="3"/>
  <c r="AE121" i="3"/>
  <c r="BF121" i="3"/>
  <c r="AE117" i="3"/>
  <c r="BF117" i="3"/>
  <c r="AE105" i="3"/>
  <c r="BF105" i="3"/>
  <c r="AE97" i="3"/>
  <c r="BF97" i="3"/>
  <c r="AE85" i="3"/>
  <c r="BF85" i="3"/>
  <c r="AE73" i="3"/>
  <c r="BF73" i="3"/>
  <c r="AE61" i="3"/>
  <c r="BF61" i="3"/>
  <c r="AE53" i="3"/>
  <c r="BF53" i="3"/>
  <c r="AE41" i="3"/>
  <c r="BF41" i="3"/>
  <c r="AE33" i="3"/>
  <c r="BF33" i="3"/>
  <c r="AE21" i="3"/>
  <c r="BF21" i="3"/>
  <c r="AE13" i="3"/>
  <c r="BF13" i="3"/>
  <c r="AE192" i="3"/>
  <c r="BF192" i="3"/>
  <c r="AE184" i="3"/>
  <c r="BF184" i="3"/>
  <c r="AE172" i="3"/>
  <c r="BF172" i="3"/>
  <c r="AE164" i="3"/>
  <c r="BF164" i="3"/>
  <c r="AE156" i="3"/>
  <c r="BF156" i="3"/>
  <c r="AE148" i="3"/>
  <c r="BF148" i="3"/>
  <c r="AE136" i="3"/>
  <c r="BF136" i="3"/>
  <c r="AE124" i="3"/>
  <c r="BF124" i="3"/>
  <c r="AE108" i="3"/>
  <c r="BF108" i="3"/>
  <c r="AE202" i="3"/>
  <c r="BF202" i="3"/>
  <c r="AE198" i="3"/>
  <c r="BF198" i="3"/>
  <c r="AE194" i="3"/>
  <c r="BF194" i="3"/>
  <c r="AE190" i="3"/>
  <c r="BF190" i="3"/>
  <c r="AE186" i="3"/>
  <c r="BF186" i="3"/>
  <c r="AE182" i="3"/>
  <c r="BF182" i="3"/>
  <c r="AE178" i="3"/>
  <c r="BF178" i="3"/>
  <c r="AE174" i="3"/>
  <c r="BF174" i="3"/>
  <c r="AE170" i="3"/>
  <c r="BF170" i="3"/>
  <c r="AE166" i="3"/>
  <c r="BF166" i="3"/>
  <c r="AE162" i="3"/>
  <c r="BF162" i="3"/>
  <c r="AE158" i="3"/>
  <c r="BF158" i="3"/>
  <c r="AE154" i="3"/>
  <c r="BF154" i="3"/>
  <c r="AE150" i="3"/>
  <c r="BF150" i="3"/>
  <c r="AE146" i="3"/>
  <c r="BF146" i="3"/>
  <c r="AE142" i="3"/>
  <c r="BF142" i="3"/>
  <c r="AE138" i="3"/>
  <c r="BF138" i="3"/>
  <c r="AE134" i="3"/>
  <c r="BF134" i="3"/>
  <c r="AE130" i="3"/>
  <c r="BF130" i="3"/>
  <c r="AE126" i="3"/>
  <c r="BF126" i="3"/>
  <c r="AE122" i="3"/>
  <c r="BF122" i="3"/>
  <c r="AE118" i="3"/>
  <c r="BF118" i="3"/>
  <c r="AE114" i="3"/>
  <c r="BF114" i="3"/>
  <c r="AE110" i="3"/>
  <c r="BF110" i="3"/>
  <c r="AE106" i="3"/>
  <c r="BF106" i="3"/>
  <c r="AE102" i="3"/>
  <c r="BF102" i="3"/>
  <c r="AE98" i="3"/>
  <c r="BF98" i="3"/>
  <c r="AE94" i="3"/>
  <c r="BF94" i="3"/>
  <c r="AE90" i="3"/>
  <c r="BF90" i="3"/>
  <c r="AE86" i="3"/>
  <c r="BF86" i="3"/>
  <c r="AE82" i="3"/>
  <c r="BF82" i="3"/>
  <c r="AE78" i="3"/>
  <c r="BF78" i="3"/>
  <c r="AE74" i="3"/>
  <c r="BF74" i="3"/>
  <c r="AE70" i="3"/>
  <c r="BF70" i="3"/>
  <c r="AE66" i="3"/>
  <c r="BF66" i="3"/>
  <c r="AE62" i="3"/>
  <c r="BF62" i="3"/>
  <c r="AE58" i="3"/>
  <c r="BF58" i="3"/>
  <c r="AE54" i="3"/>
  <c r="BF54" i="3"/>
  <c r="AE50" i="3"/>
  <c r="BF50" i="3"/>
  <c r="AE46" i="3"/>
  <c r="BF46" i="3"/>
  <c r="AE42" i="3"/>
  <c r="BF42" i="3"/>
  <c r="AE38" i="3"/>
  <c r="BF38" i="3"/>
  <c r="AE34" i="3"/>
  <c r="BF34" i="3"/>
  <c r="AE30" i="3"/>
  <c r="BF30" i="3"/>
  <c r="AE26" i="3"/>
  <c r="BF26" i="3"/>
  <c r="AE22" i="3"/>
  <c r="BF22" i="3"/>
  <c r="AE18" i="3"/>
  <c r="BF18" i="3"/>
  <c r="AE14" i="3"/>
  <c r="BF14" i="3"/>
  <c r="AE10" i="3"/>
  <c r="BF10" i="3"/>
  <c r="AE9" i="3"/>
  <c r="BF9" i="3"/>
  <c r="X8" i="3"/>
  <c r="AZ5" i="3"/>
  <c r="Z174" i="3"/>
  <c r="M192" i="3" l="1"/>
  <c r="AK192" i="3" s="1"/>
  <c r="AM192" i="3" s="1"/>
  <c r="L192" i="3"/>
  <c r="M191" i="3"/>
  <c r="AK191" i="3" s="1"/>
  <c r="AM191" i="3" s="1"/>
  <c r="L191" i="3"/>
  <c r="M190" i="3"/>
  <c r="AK190" i="3" s="1"/>
  <c r="AM190" i="3" s="1"/>
  <c r="L190" i="3"/>
  <c r="L184" i="3"/>
  <c r="M184" i="3"/>
  <c r="AK184" i="3" s="1"/>
  <c r="AM184" i="3" s="1"/>
  <c r="M100" i="3" l="1"/>
  <c r="AK100" i="3" s="1"/>
  <c r="AM100" i="3" s="1"/>
  <c r="L100" i="3"/>
  <c r="M26" i="3"/>
  <c r="AK26" i="3" s="1"/>
  <c r="L26" i="3"/>
  <c r="J180" i="3"/>
  <c r="I115" i="3"/>
  <c r="J181" i="3" l="1"/>
  <c r="AA181" i="3" s="1"/>
  <c r="AB181" i="3" s="1"/>
  <c r="AC181" i="3" s="1"/>
  <c r="AM181" i="3" s="1"/>
  <c r="AA180" i="3"/>
  <c r="AB180" i="3" s="1"/>
  <c r="AC180" i="3" s="1"/>
  <c r="AM180" i="3" s="1"/>
  <c r="H115" i="3"/>
  <c r="G115" i="3"/>
  <c r="I106" i="3"/>
  <c r="Z106" i="3" s="1"/>
  <c r="I73" i="3"/>
  <c r="Z73" i="3" s="1"/>
  <c r="J74" i="3"/>
  <c r="J82" i="3"/>
  <c r="I47" i="3"/>
  <c r="Z47" i="3" s="1"/>
  <c r="J48" i="3"/>
  <c r="J176" i="3"/>
  <c r="I145" i="3"/>
  <c r="Z145" i="3" s="1"/>
  <c r="I144" i="3"/>
  <c r="Z144" i="3" s="1"/>
  <c r="J175" i="3"/>
  <c r="J170" i="3"/>
  <c r="J171" i="3"/>
  <c r="J172" i="3"/>
  <c r="J173" i="3"/>
  <c r="J174" i="3"/>
  <c r="J169" i="3"/>
  <c r="I175" i="3"/>
  <c r="H175" i="3"/>
  <c r="I173" i="3"/>
  <c r="H173" i="3"/>
  <c r="I172" i="3"/>
  <c r="H172" i="3"/>
  <c r="I171" i="3"/>
  <c r="H171" i="3"/>
  <c r="I170" i="3"/>
  <c r="Z170" i="3" s="1"/>
  <c r="I169" i="3"/>
  <c r="H169" i="3"/>
  <c r="I168" i="3"/>
  <c r="H168" i="3"/>
  <c r="I167" i="3"/>
  <c r="H167" i="3"/>
  <c r="I123" i="3"/>
  <c r="Z123" i="3" s="1"/>
  <c r="J118" i="3"/>
  <c r="AA118" i="3" s="1"/>
  <c r="AB118" i="3" s="1"/>
  <c r="AC118" i="3" s="1"/>
  <c r="AM118" i="3" s="1"/>
  <c r="AA169" i="3" l="1"/>
  <c r="AB169" i="3" s="1"/>
  <c r="AC169" i="3" s="1"/>
  <c r="M169" i="3"/>
  <c r="AK169" i="3" s="1"/>
  <c r="AA171" i="3"/>
  <c r="AB171" i="3" s="1"/>
  <c r="AC171" i="3" s="1"/>
  <c r="M171" i="3"/>
  <c r="M174" i="3"/>
  <c r="AK174" i="3" s="1"/>
  <c r="AA170" i="3"/>
  <c r="AB170" i="3" s="1"/>
  <c r="AC170" i="3" s="1"/>
  <c r="M170" i="3"/>
  <c r="AK170" i="3" s="1"/>
  <c r="AA173" i="3"/>
  <c r="AB173" i="3" s="1"/>
  <c r="AC173" i="3" s="1"/>
  <c r="M173" i="3"/>
  <c r="AA175" i="3"/>
  <c r="AB175" i="3" s="1"/>
  <c r="AC175" i="3" s="1"/>
  <c r="M175" i="3"/>
  <c r="AK175" i="3" s="1"/>
  <c r="AA172" i="3"/>
  <c r="AB172" i="3" s="1"/>
  <c r="AC172" i="3" s="1"/>
  <c r="M172" i="3"/>
  <c r="AK172" i="3" s="1"/>
  <c r="M168" i="3"/>
  <c r="AK168" i="3" s="1"/>
  <c r="AM168" i="3" s="1"/>
  <c r="AA174" i="3"/>
  <c r="AB174" i="3" s="1"/>
  <c r="AC174" i="3" s="1"/>
  <c r="Z171" i="3"/>
  <c r="Z173" i="3"/>
  <c r="Z167" i="3"/>
  <c r="Z169" i="3"/>
  <c r="Z168" i="3"/>
  <c r="Z115" i="3"/>
  <c r="Z172" i="3"/>
  <c r="Z175" i="3"/>
  <c r="J177" i="3"/>
  <c r="AA177" i="3" s="1"/>
  <c r="AB177" i="3" s="1"/>
  <c r="AC177" i="3" s="1"/>
  <c r="AM177" i="3" s="1"/>
  <c r="AA176" i="3"/>
  <c r="AB176" i="3" s="1"/>
  <c r="AC176" i="3" s="1"/>
  <c r="AM176" i="3" s="1"/>
  <c r="M74" i="3"/>
  <c r="AA74" i="3"/>
  <c r="AB74" i="3" s="1"/>
  <c r="AC74" i="3" s="1"/>
  <c r="L82" i="3"/>
  <c r="AA82" i="3"/>
  <c r="AB82" i="3" s="1"/>
  <c r="AC82" i="3" s="1"/>
  <c r="L48" i="3"/>
  <c r="AA48" i="3"/>
  <c r="AB48" i="3" s="1"/>
  <c r="AC48" i="3" s="1"/>
  <c r="M48" i="3"/>
  <c r="AK48" i="3" s="1"/>
  <c r="J85" i="3"/>
  <c r="J83" i="3"/>
  <c r="AA83" i="3" s="1"/>
  <c r="AB83" i="3" s="1"/>
  <c r="AC83" i="3" s="1"/>
  <c r="L174" i="3"/>
  <c r="L74" i="3"/>
  <c r="M82" i="3"/>
  <c r="AK82" i="3" s="1"/>
  <c r="L172" i="3"/>
  <c r="L170" i="3"/>
  <c r="L169" i="3"/>
  <c r="L171" i="3"/>
  <c r="L173" i="3"/>
  <c r="L175" i="3"/>
  <c r="N175" i="3" s="1"/>
  <c r="N171" i="3" l="1"/>
  <c r="N173" i="3"/>
  <c r="N74" i="3"/>
  <c r="AK171" i="3"/>
  <c r="AM171" i="3" s="1"/>
  <c r="N170" i="3"/>
  <c r="N172" i="3"/>
  <c r="N169" i="3"/>
  <c r="AK173" i="3"/>
  <c r="AM173" i="3" s="1"/>
  <c r="AM170" i="3"/>
  <c r="AM175" i="3"/>
  <c r="AM172" i="3"/>
  <c r="N174" i="3"/>
  <c r="AM169" i="3"/>
  <c r="AM174" i="3"/>
  <c r="AM48" i="3"/>
  <c r="N48" i="3"/>
  <c r="AM82" i="3"/>
  <c r="N82" i="3"/>
  <c r="L85" i="3"/>
  <c r="AA85" i="3"/>
  <c r="AB85" i="3" s="1"/>
  <c r="AC85" i="3" s="1"/>
  <c r="M85" i="3"/>
  <c r="AK85" i="3" s="1"/>
  <c r="L83" i="3"/>
  <c r="M83" i="3"/>
  <c r="AK83" i="3" s="1"/>
  <c r="AM83" i="3" s="1"/>
  <c r="J86" i="3"/>
  <c r="AA86" i="3" s="1"/>
  <c r="AB86" i="3" s="1"/>
  <c r="AC86" i="3" s="1"/>
  <c r="J84" i="3"/>
  <c r="AA84" i="3" s="1"/>
  <c r="AB84" i="3" s="1"/>
  <c r="AC84" i="3" s="1"/>
  <c r="J87" i="3"/>
  <c r="AA87" i="3" s="1"/>
  <c r="AB87" i="3" s="1"/>
  <c r="AC87" i="3" s="1"/>
  <c r="AM87" i="3" s="1"/>
  <c r="J90" i="3"/>
  <c r="AM85" i="3" l="1"/>
  <c r="N85" i="3"/>
  <c r="L90" i="3"/>
  <c r="AA90" i="3"/>
  <c r="AB90" i="3" s="1"/>
  <c r="AC90" i="3" s="1"/>
  <c r="AM90" i="3" s="1"/>
  <c r="N83" i="3"/>
  <c r="M90" i="3"/>
  <c r="L84" i="3"/>
  <c r="M84" i="3"/>
  <c r="AK84" i="3" s="1"/>
  <c r="AM84" i="3" s="1"/>
  <c r="L86" i="3"/>
  <c r="M86" i="3"/>
  <c r="AK86" i="3" s="1"/>
  <c r="AM86" i="3" s="1"/>
  <c r="L87" i="3"/>
  <c r="J88" i="3"/>
  <c r="AA88" i="3" s="1"/>
  <c r="AB88" i="3" s="1"/>
  <c r="AC88" i="3" s="1"/>
  <c r="AM88" i="3" s="1"/>
  <c r="M87" i="3"/>
  <c r="N90" i="3" l="1"/>
  <c r="N86" i="3"/>
  <c r="N84" i="3"/>
  <c r="N87" i="3"/>
  <c r="L88" i="3"/>
  <c r="M88" i="3"/>
  <c r="J89" i="3"/>
  <c r="AA89" i="3" s="1"/>
  <c r="AB89" i="3" s="1"/>
  <c r="AC89" i="3" s="1"/>
  <c r="AM89" i="3" s="1"/>
  <c r="N88" i="3" l="1"/>
  <c r="M89" i="3"/>
  <c r="L89" i="3"/>
  <c r="N89" i="3" l="1"/>
  <c r="M102" i="3"/>
  <c r="AK102" i="3" s="1"/>
  <c r="AM102" i="3" s="1"/>
  <c r="L102" i="3"/>
  <c r="M101" i="3"/>
  <c r="AK101" i="3" s="1"/>
  <c r="AM101" i="3" s="1"/>
  <c r="L101" i="3"/>
  <c r="N100" i="3"/>
  <c r="M194" i="3"/>
  <c r="L194" i="3"/>
  <c r="N101" i="3" l="1"/>
  <c r="N102" i="3"/>
  <c r="M182" i="3"/>
  <c r="AK182" i="3" s="1"/>
  <c r="AM182" i="3" s="1"/>
  <c r="L182" i="3"/>
  <c r="M145" i="3"/>
  <c r="M144" i="3"/>
  <c r="L145" i="3"/>
  <c r="L144" i="3"/>
  <c r="M95" i="3"/>
  <c r="AK95" i="3" s="1"/>
  <c r="AM95" i="3" s="1"/>
  <c r="L95" i="3"/>
  <c r="M21" i="3"/>
  <c r="L21" i="3"/>
  <c r="J68" i="3"/>
  <c r="L68" i="3" l="1"/>
  <c r="AA68" i="3"/>
  <c r="AB68" i="3" s="1"/>
  <c r="AC68" i="3" s="1"/>
  <c r="M68" i="3"/>
  <c r="AK68" i="3" s="1"/>
  <c r="M118" i="3"/>
  <c r="L203" i="3"/>
  <c r="M203" i="3"/>
  <c r="L202" i="3"/>
  <c r="M202" i="3"/>
  <c r="L201" i="3"/>
  <c r="M201" i="3"/>
  <c r="L200" i="3"/>
  <c r="M200" i="3"/>
  <c r="M199" i="3"/>
  <c r="L199" i="3"/>
  <c r="M198" i="3"/>
  <c r="L198" i="3"/>
  <c r="L197" i="3"/>
  <c r="M197" i="3"/>
  <c r="L196" i="3"/>
  <c r="M196" i="3"/>
  <c r="M195" i="3"/>
  <c r="L195" i="3"/>
  <c r="N190" i="3"/>
  <c r="N191" i="3"/>
  <c r="N192" i="3"/>
  <c r="N194" i="3"/>
  <c r="L193" i="3"/>
  <c r="M193" i="3"/>
  <c r="M189" i="3"/>
  <c r="L189" i="3"/>
  <c r="M186" i="3"/>
  <c r="M187" i="3"/>
  <c r="M188" i="3"/>
  <c r="L186" i="3"/>
  <c r="L187" i="3"/>
  <c r="L188" i="3"/>
  <c r="M185" i="3"/>
  <c r="L185" i="3"/>
  <c r="M183" i="3"/>
  <c r="AK183" i="3" s="1"/>
  <c r="AM183" i="3" s="1"/>
  <c r="L183" i="3"/>
  <c r="N182" i="3"/>
  <c r="M177" i="3"/>
  <c r="M178" i="3"/>
  <c r="M179" i="3"/>
  <c r="M180" i="3"/>
  <c r="M181" i="3"/>
  <c r="L177" i="3"/>
  <c r="L178" i="3"/>
  <c r="L179" i="3"/>
  <c r="L180" i="3"/>
  <c r="L181" i="3"/>
  <c r="M176" i="3"/>
  <c r="L176" i="3"/>
  <c r="M167" i="3"/>
  <c r="AK167" i="3" s="1"/>
  <c r="AM167" i="3" s="1"/>
  <c r="L168" i="3"/>
  <c r="N168" i="3" s="1"/>
  <c r="L167" i="3"/>
  <c r="L166" i="3"/>
  <c r="M166" i="3"/>
  <c r="L165" i="3"/>
  <c r="M165" i="3"/>
  <c r="L164" i="3"/>
  <c r="M164" i="3"/>
  <c r="L163" i="3"/>
  <c r="M163" i="3"/>
  <c r="L161" i="3"/>
  <c r="M161" i="3"/>
  <c r="L160" i="3"/>
  <c r="M160" i="3"/>
  <c r="L159" i="3"/>
  <c r="M159" i="3"/>
  <c r="L158" i="3"/>
  <c r="M158" i="3"/>
  <c r="L157" i="3"/>
  <c r="M157" i="3"/>
  <c r="L156" i="3"/>
  <c r="M156" i="3"/>
  <c r="L155" i="3"/>
  <c r="M155" i="3"/>
  <c r="M154" i="3"/>
  <c r="L154" i="3"/>
  <c r="M153" i="3"/>
  <c r="L153" i="3"/>
  <c r="M152" i="3"/>
  <c r="L152" i="3"/>
  <c r="M151" i="3"/>
  <c r="L151" i="3"/>
  <c r="M150" i="3"/>
  <c r="AK150" i="3" s="1"/>
  <c r="AM150" i="3" s="1"/>
  <c r="M146" i="3"/>
  <c r="AK146" i="3" s="1"/>
  <c r="AM146" i="3" s="1"/>
  <c r="L146" i="3"/>
  <c r="L150" i="3"/>
  <c r="M149" i="3"/>
  <c r="AK149" i="3" s="1"/>
  <c r="AM149" i="3" s="1"/>
  <c r="L149" i="3"/>
  <c r="M148" i="3"/>
  <c r="AK148" i="3" s="1"/>
  <c r="AM148" i="3" s="1"/>
  <c r="L148" i="3"/>
  <c r="M147" i="3"/>
  <c r="AK147" i="3" s="1"/>
  <c r="AM147" i="3" s="1"/>
  <c r="L147" i="3"/>
  <c r="N145" i="3"/>
  <c r="AM68" i="3" l="1"/>
  <c r="N68" i="3"/>
  <c r="N201" i="3"/>
  <c r="N203" i="3"/>
  <c r="N199" i="3"/>
  <c r="N200" i="3"/>
  <c r="N202" i="3"/>
  <c r="N196" i="3"/>
  <c r="N165" i="3"/>
  <c r="N178" i="3"/>
  <c r="N155" i="3"/>
  <c r="N161" i="3"/>
  <c r="N187" i="3"/>
  <c r="N154" i="3"/>
  <c r="N158" i="3"/>
  <c r="N160" i="3"/>
  <c r="N162" i="3"/>
  <c r="N164" i="3"/>
  <c r="N151" i="3"/>
  <c r="N184" i="3"/>
  <c r="N198" i="3"/>
  <c r="N152" i="3"/>
  <c r="N166" i="3"/>
  <c r="N183" i="3"/>
  <c r="N188" i="3"/>
  <c r="N195" i="3"/>
  <c r="N197" i="3"/>
  <c r="N153" i="3"/>
  <c r="N159" i="3"/>
  <c r="N185" i="3"/>
  <c r="N179" i="3"/>
  <c r="N163" i="3"/>
  <c r="N149" i="3"/>
  <c r="N148" i="3"/>
  <c r="N150" i="3"/>
  <c r="N156" i="3"/>
  <c r="N186" i="3"/>
  <c r="N193" i="3"/>
  <c r="N180" i="3"/>
  <c r="N181" i="3"/>
  <c r="N177" i="3"/>
  <c r="N176" i="3"/>
  <c r="N157" i="3"/>
  <c r="N147" i="3"/>
  <c r="N189" i="3"/>
  <c r="J119" i="3"/>
  <c r="AA119" i="3" s="1"/>
  <c r="AB119" i="3" s="1"/>
  <c r="AC119" i="3" s="1"/>
  <c r="AM119" i="3" s="1"/>
  <c r="L118" i="3"/>
  <c r="N118" i="3" s="1"/>
  <c r="N167" i="3"/>
  <c r="N146" i="3"/>
  <c r="J120" i="3" l="1"/>
  <c r="AA120" i="3" s="1"/>
  <c r="AB120" i="3" s="1"/>
  <c r="AC120" i="3" s="1"/>
  <c r="AM120" i="3" s="1"/>
  <c r="M119" i="3"/>
  <c r="L119" i="3"/>
  <c r="N119" i="3" l="1"/>
  <c r="M120" i="3"/>
  <c r="L120" i="3"/>
  <c r="N120" i="3" l="1"/>
  <c r="I46" i="3" l="1"/>
  <c r="Z46" i="3" s="1"/>
  <c r="N144" i="3"/>
  <c r="M138" i="3"/>
  <c r="M139" i="3"/>
  <c r="L138" i="3"/>
  <c r="L139" i="3"/>
  <c r="M137" i="3"/>
  <c r="L137" i="3"/>
  <c r="M46" i="3" l="1"/>
  <c r="AK46" i="3" s="1"/>
  <c r="AM46" i="3" s="1"/>
  <c r="L46" i="3"/>
  <c r="N137" i="3"/>
  <c r="N139" i="3"/>
  <c r="N138" i="3"/>
  <c r="M143" i="3"/>
  <c r="L143" i="3"/>
  <c r="M142" i="3"/>
  <c r="L142" i="3"/>
  <c r="M141" i="3"/>
  <c r="AK141" i="3" s="1"/>
  <c r="AM141" i="3" s="1"/>
  <c r="L141" i="3"/>
  <c r="M140" i="3"/>
  <c r="L140" i="3"/>
  <c r="M136" i="3"/>
  <c r="L136" i="3"/>
  <c r="M135" i="3"/>
  <c r="L135" i="3"/>
  <c r="M123" i="3"/>
  <c r="AK123" i="3" s="1"/>
  <c r="AM123" i="3" s="1"/>
  <c r="L134" i="3"/>
  <c r="M134" i="3" s="1"/>
  <c r="N134" i="3" s="1"/>
  <c r="L133" i="3"/>
  <c r="M133" i="3" s="1"/>
  <c r="N133" i="3" s="1"/>
  <c r="L127" i="3"/>
  <c r="M127" i="3" s="1"/>
  <c r="N127" i="3" s="1"/>
  <c r="L128" i="3"/>
  <c r="M128" i="3" s="1"/>
  <c r="N128" i="3" s="1"/>
  <c r="L129" i="3"/>
  <c r="M129" i="3" s="1"/>
  <c r="N129" i="3" s="1"/>
  <c r="N130" i="3"/>
  <c r="L131" i="3"/>
  <c r="M131" i="3" s="1"/>
  <c r="N131" i="3" s="1"/>
  <c r="L132" i="3"/>
  <c r="M132" i="3" s="1"/>
  <c r="N132" i="3" s="1"/>
  <c r="L126" i="3"/>
  <c r="M126" i="3" s="1"/>
  <c r="N126" i="3" s="1"/>
  <c r="L125" i="3"/>
  <c r="M125" i="3" s="1"/>
  <c r="N125" i="3" s="1"/>
  <c r="M122" i="3"/>
  <c r="AK122" i="3" s="1"/>
  <c r="AM122" i="3" s="1"/>
  <c r="M124" i="3"/>
  <c r="AK124" i="3" s="1"/>
  <c r="AM124" i="3" s="1"/>
  <c r="M121" i="3"/>
  <c r="AK121" i="3" s="1"/>
  <c r="AM121" i="3" s="1"/>
  <c r="L123" i="3"/>
  <c r="L124" i="3"/>
  <c r="L122" i="3"/>
  <c r="L121" i="3"/>
  <c r="N124" i="3" l="1"/>
  <c r="N46" i="3"/>
  <c r="N136" i="3"/>
  <c r="N141" i="3"/>
  <c r="N143" i="3"/>
  <c r="N122" i="3"/>
  <c r="N121" i="3"/>
  <c r="N142" i="3"/>
  <c r="N135" i="3"/>
  <c r="N123" i="3"/>
  <c r="N140" i="3"/>
  <c r="J98" i="3"/>
  <c r="M97" i="3"/>
  <c r="L97" i="3"/>
  <c r="M96" i="3"/>
  <c r="L96" i="3"/>
  <c r="N95" i="3"/>
  <c r="I94" i="3"/>
  <c r="J70" i="3"/>
  <c r="J69" i="3"/>
  <c r="J67" i="3"/>
  <c r="AA67" i="3" s="1"/>
  <c r="AB67" i="3" s="1"/>
  <c r="AC67" i="3" s="1"/>
  <c r="I67" i="3"/>
  <c r="Z67" i="3" s="1"/>
  <c r="J56" i="3"/>
  <c r="J32" i="3"/>
  <c r="AA32" i="3" s="1"/>
  <c r="I20" i="3"/>
  <c r="J8" i="3"/>
  <c r="AA8" i="3" s="1"/>
  <c r="I41" i="3"/>
  <c r="Z41" i="3" l="1"/>
  <c r="M41" i="3"/>
  <c r="M69" i="3"/>
  <c r="AA69" i="3"/>
  <c r="AB69" i="3" s="1"/>
  <c r="AC69" i="3" s="1"/>
  <c r="AM69" i="3" s="1"/>
  <c r="M98" i="3"/>
  <c r="AA98" i="3"/>
  <c r="AB98" i="3" s="1"/>
  <c r="AC98" i="3" s="1"/>
  <c r="AM98" i="3" s="1"/>
  <c r="M70" i="3"/>
  <c r="AA70" i="3"/>
  <c r="AB70" i="3" s="1"/>
  <c r="AC70" i="3" s="1"/>
  <c r="AM70" i="3" s="1"/>
  <c r="M94" i="3"/>
  <c r="AK94" i="3" s="1"/>
  <c r="AM94" i="3" s="1"/>
  <c r="Z94" i="3"/>
  <c r="J57" i="3"/>
  <c r="AA56" i="3"/>
  <c r="AB56" i="3" s="1"/>
  <c r="AC56" i="3" s="1"/>
  <c r="M67" i="3"/>
  <c r="AK67" i="3" s="1"/>
  <c r="AK41" i="3"/>
  <c r="AM41" i="3" s="1"/>
  <c r="L41" i="3"/>
  <c r="N96" i="3"/>
  <c r="N97" i="3"/>
  <c r="J25" i="3"/>
  <c r="J29" i="3"/>
  <c r="J107" i="3"/>
  <c r="AA107" i="3" s="1"/>
  <c r="AB107" i="3" s="1"/>
  <c r="AC107" i="3" s="1"/>
  <c r="J103" i="3"/>
  <c r="AA103" i="3" s="1"/>
  <c r="AB103" i="3" s="1"/>
  <c r="AC103" i="3" s="1"/>
  <c r="AM103" i="3" s="1"/>
  <c r="J71" i="3"/>
  <c r="L71" i="3" s="1"/>
  <c r="M56" i="3"/>
  <c r="AK56" i="3" s="1"/>
  <c r="L67" i="3"/>
  <c r="J58" i="3"/>
  <c r="L94" i="3"/>
  <c r="J99" i="3"/>
  <c r="L98" i="3"/>
  <c r="J115" i="3"/>
  <c r="J72" i="3"/>
  <c r="AA72" i="3" s="1"/>
  <c r="AB72" i="3" s="1"/>
  <c r="AC72" i="3" s="1"/>
  <c r="AM72" i="3" s="1"/>
  <c r="L70" i="3"/>
  <c r="L69" i="3"/>
  <c r="L56" i="3"/>
  <c r="N94" i="3" l="1"/>
  <c r="AM67" i="3"/>
  <c r="N67" i="3"/>
  <c r="AM56" i="3"/>
  <c r="N56" i="3"/>
  <c r="N70" i="3"/>
  <c r="N69" i="3"/>
  <c r="AA115" i="3"/>
  <c r="AB115" i="3" s="1"/>
  <c r="AC115" i="3" s="1"/>
  <c r="AM115" i="3" s="1"/>
  <c r="M115" i="3"/>
  <c r="L115" i="3"/>
  <c r="M71" i="3"/>
  <c r="N71" i="3" s="1"/>
  <c r="AA71" i="3"/>
  <c r="AB71" i="3" s="1"/>
  <c r="AC71" i="3" s="1"/>
  <c r="AM71" i="3" s="1"/>
  <c r="N98" i="3"/>
  <c r="M25" i="3"/>
  <c r="AA25" i="3"/>
  <c r="M99" i="3"/>
  <c r="AA99" i="3"/>
  <c r="AB99" i="3" s="1"/>
  <c r="AC99" i="3" s="1"/>
  <c r="AM99" i="3" s="1"/>
  <c r="M58" i="3"/>
  <c r="AK58" i="3" s="1"/>
  <c r="AA58" i="3"/>
  <c r="AB58" i="3" s="1"/>
  <c r="AC58" i="3" s="1"/>
  <c r="J30" i="3"/>
  <c r="AA29" i="3"/>
  <c r="J59" i="3"/>
  <c r="AA57" i="3"/>
  <c r="AB57" i="3" s="1"/>
  <c r="AC57" i="3" s="1"/>
  <c r="N41" i="3"/>
  <c r="M72" i="3"/>
  <c r="J73" i="3"/>
  <c r="L25" i="3"/>
  <c r="J109" i="3"/>
  <c r="AA109" i="3" s="1"/>
  <c r="AB109" i="3" s="1"/>
  <c r="AC109" i="3" s="1"/>
  <c r="AM109" i="3" s="1"/>
  <c r="M107" i="3"/>
  <c r="AK107" i="3" s="1"/>
  <c r="AM107" i="3" s="1"/>
  <c r="L107" i="3"/>
  <c r="J106" i="3"/>
  <c r="J104" i="3"/>
  <c r="AA104" i="3" s="1"/>
  <c r="AB104" i="3" s="1"/>
  <c r="AC104" i="3" s="1"/>
  <c r="AM104" i="3" s="1"/>
  <c r="L103" i="3"/>
  <c r="M103" i="3"/>
  <c r="L72" i="3"/>
  <c r="L99" i="3"/>
  <c r="L58" i="3"/>
  <c r="M57" i="3"/>
  <c r="AK57" i="3" s="1"/>
  <c r="L57" i="3"/>
  <c r="L59" i="3" l="1"/>
  <c r="AA73" i="3"/>
  <c r="AB73" i="3" s="1"/>
  <c r="AC73" i="3" s="1"/>
  <c r="AM57" i="3"/>
  <c r="N57" i="3"/>
  <c r="AM58" i="3"/>
  <c r="N58" i="3"/>
  <c r="N72" i="3"/>
  <c r="M59" i="3"/>
  <c r="AK59" i="3" s="1"/>
  <c r="N99" i="3"/>
  <c r="J31" i="3"/>
  <c r="AA31" i="3" s="1"/>
  <c r="AA30" i="3"/>
  <c r="J116" i="3"/>
  <c r="AA116" i="3" s="1"/>
  <c r="AB116" i="3" s="1"/>
  <c r="AC116" i="3" s="1"/>
  <c r="AM116" i="3" s="1"/>
  <c r="AA106" i="3"/>
  <c r="AB106" i="3" s="1"/>
  <c r="AC106" i="3" s="1"/>
  <c r="AA59" i="3"/>
  <c r="AB59" i="3" s="1"/>
  <c r="AC59" i="3" s="1"/>
  <c r="J63" i="3"/>
  <c r="J60" i="3"/>
  <c r="J79" i="3"/>
  <c r="J76" i="3"/>
  <c r="J75" i="3"/>
  <c r="M73" i="3"/>
  <c r="AK73" i="3" s="1"/>
  <c r="L73" i="3"/>
  <c r="N107" i="3"/>
  <c r="J91" i="3"/>
  <c r="L91" i="3" s="1"/>
  <c r="J105" i="3"/>
  <c r="AA105" i="3" s="1"/>
  <c r="AB105" i="3" s="1"/>
  <c r="AC105" i="3" s="1"/>
  <c r="AM105" i="3" s="1"/>
  <c r="M104" i="3"/>
  <c r="L104" i="3"/>
  <c r="J93" i="3"/>
  <c r="N103" i="3"/>
  <c r="J108" i="3"/>
  <c r="AA108" i="3" s="1"/>
  <c r="AB108" i="3" s="1"/>
  <c r="AC108" i="3" s="1"/>
  <c r="M106" i="3"/>
  <c r="AK106" i="3" s="1"/>
  <c r="L106" i="3"/>
  <c r="J110" i="3"/>
  <c r="AA110" i="3" s="1"/>
  <c r="AB110" i="3" s="1"/>
  <c r="AC110" i="3" s="1"/>
  <c r="AM110" i="3" s="1"/>
  <c r="L109" i="3"/>
  <c r="M109" i="3"/>
  <c r="N73" i="3" l="1"/>
  <c r="AA79" i="3"/>
  <c r="AB79" i="3" s="1"/>
  <c r="AC79" i="3" s="1"/>
  <c r="AM79" i="3" s="1"/>
  <c r="AA75" i="3"/>
  <c r="AB75" i="3" s="1"/>
  <c r="AC75" i="3" s="1"/>
  <c r="AA76" i="3"/>
  <c r="AB76" i="3" s="1"/>
  <c r="AC76" i="3" s="1"/>
  <c r="AM76" i="3" s="1"/>
  <c r="AM59" i="3"/>
  <c r="N59" i="3"/>
  <c r="AM73" i="3"/>
  <c r="AM106" i="3"/>
  <c r="J92" i="3"/>
  <c r="M92" i="3" s="1"/>
  <c r="AA91" i="3"/>
  <c r="AB91" i="3" s="1"/>
  <c r="AC91" i="3" s="1"/>
  <c r="AA60" i="3"/>
  <c r="AB60" i="3" s="1"/>
  <c r="AC60" i="3" s="1"/>
  <c r="AM60" i="3" s="1"/>
  <c r="J61" i="3"/>
  <c r="M60" i="3"/>
  <c r="L60" i="3"/>
  <c r="M93" i="3"/>
  <c r="AA93" i="3"/>
  <c r="AB93" i="3" s="1"/>
  <c r="AC93" i="3" s="1"/>
  <c r="AM93" i="3" s="1"/>
  <c r="AA63" i="3"/>
  <c r="AB63" i="3" s="1"/>
  <c r="AC63" i="3" s="1"/>
  <c r="AM63" i="3" s="1"/>
  <c r="M63" i="3"/>
  <c r="J64" i="3"/>
  <c r="L63" i="3"/>
  <c r="J66" i="3"/>
  <c r="M75" i="3"/>
  <c r="L75" i="3"/>
  <c r="J77" i="3"/>
  <c r="L76" i="3"/>
  <c r="M76" i="3"/>
  <c r="N76" i="3" s="1"/>
  <c r="L93" i="3"/>
  <c r="J80" i="3"/>
  <c r="L79" i="3"/>
  <c r="M79" i="3"/>
  <c r="N79" i="3" s="1"/>
  <c r="N115" i="3"/>
  <c r="M91" i="3"/>
  <c r="N109" i="3"/>
  <c r="N106" i="3"/>
  <c r="N104" i="3"/>
  <c r="L108" i="3"/>
  <c r="M108" i="3"/>
  <c r="AK108" i="3" s="1"/>
  <c r="AM108" i="3" s="1"/>
  <c r="L105" i="3"/>
  <c r="M105" i="3"/>
  <c r="J111" i="3"/>
  <c r="AA111" i="3" s="1"/>
  <c r="AB111" i="3" s="1"/>
  <c r="AC111" i="3" s="1"/>
  <c r="AM111" i="3" s="1"/>
  <c r="L110" i="3"/>
  <c r="M110" i="3"/>
  <c r="L116" i="3"/>
  <c r="J117" i="3"/>
  <c r="AA117" i="3" s="1"/>
  <c r="AB117" i="3" s="1"/>
  <c r="AC117" i="3" s="1"/>
  <c r="AM117" i="3" s="1"/>
  <c r="M116" i="3"/>
  <c r="N75" i="3" l="1"/>
  <c r="AK75" i="3"/>
  <c r="AM75" i="3" s="1"/>
  <c r="N63" i="3"/>
  <c r="AA80" i="3"/>
  <c r="AB80" i="3" s="1"/>
  <c r="AC80" i="3" s="1"/>
  <c r="AM80" i="3" s="1"/>
  <c r="AA77" i="3"/>
  <c r="AB77" i="3" s="1"/>
  <c r="AC77" i="3" s="1"/>
  <c r="AM77" i="3" s="1"/>
  <c r="N60" i="3"/>
  <c r="N91" i="3"/>
  <c r="AK91" i="3"/>
  <c r="AM91" i="3" s="1"/>
  <c r="L64" i="3"/>
  <c r="AA64" i="3"/>
  <c r="AB64" i="3" s="1"/>
  <c r="AC64" i="3" s="1"/>
  <c r="J65" i="3"/>
  <c r="M64" i="3"/>
  <c r="AK64" i="3" s="1"/>
  <c r="AA61" i="3"/>
  <c r="AB61" i="3" s="1"/>
  <c r="AC61" i="3" s="1"/>
  <c r="AM61" i="3" s="1"/>
  <c r="L61" i="3"/>
  <c r="J62" i="3"/>
  <c r="M61" i="3"/>
  <c r="N93" i="3"/>
  <c r="M66" i="3"/>
  <c r="AA66" i="3"/>
  <c r="AB66" i="3" s="1"/>
  <c r="AC66" i="3" s="1"/>
  <c r="AM66" i="3" s="1"/>
  <c r="L66" i="3"/>
  <c r="L92" i="3"/>
  <c r="N92" i="3" s="1"/>
  <c r="AA92" i="3"/>
  <c r="AB92" i="3" s="1"/>
  <c r="AC92" i="3" s="1"/>
  <c r="AM92" i="3" s="1"/>
  <c r="J81" i="3"/>
  <c r="M80" i="3"/>
  <c r="L80" i="3"/>
  <c r="J78" i="3"/>
  <c r="L77" i="3"/>
  <c r="M77" i="3"/>
  <c r="N108" i="3"/>
  <c r="N116" i="3"/>
  <c r="N110" i="3"/>
  <c r="M117" i="3"/>
  <c r="L117" i="3"/>
  <c r="J112" i="3"/>
  <c r="AA112" i="3" s="1"/>
  <c r="AB112" i="3" s="1"/>
  <c r="AC112" i="3" s="1"/>
  <c r="AM112" i="3" s="1"/>
  <c r="L111" i="3"/>
  <c r="M111" i="3"/>
  <c r="N105" i="3"/>
  <c r="N77" i="3" l="1"/>
  <c r="N80" i="3"/>
  <c r="AA81" i="3"/>
  <c r="AB81" i="3" s="1"/>
  <c r="AC81" i="3" s="1"/>
  <c r="AM81" i="3" s="1"/>
  <c r="AA78" i="3"/>
  <c r="AB78" i="3" s="1"/>
  <c r="AC78" i="3" s="1"/>
  <c r="AM78" i="3" s="1"/>
  <c r="N61" i="3"/>
  <c r="AM64" i="3"/>
  <c r="N64" i="3"/>
  <c r="N66" i="3"/>
  <c r="AA62" i="3"/>
  <c r="AB62" i="3" s="1"/>
  <c r="AC62" i="3" s="1"/>
  <c r="AM62" i="3" s="1"/>
  <c r="M62" i="3"/>
  <c r="L62" i="3"/>
  <c r="L65" i="3"/>
  <c r="AA65" i="3"/>
  <c r="AB65" i="3" s="1"/>
  <c r="AC65" i="3" s="1"/>
  <c r="AM65" i="3" s="1"/>
  <c r="M65" i="3"/>
  <c r="L78" i="3"/>
  <c r="M78" i="3"/>
  <c r="N78" i="3" s="1"/>
  <c r="M81" i="3"/>
  <c r="N81" i="3" s="1"/>
  <c r="L81" i="3"/>
  <c r="J113" i="3"/>
  <c r="AA113" i="3" s="1"/>
  <c r="AB113" i="3" s="1"/>
  <c r="AC113" i="3" s="1"/>
  <c r="AM113" i="3" s="1"/>
  <c r="L112" i="3"/>
  <c r="M112" i="3"/>
  <c r="N111" i="3"/>
  <c r="N117" i="3"/>
  <c r="N65" i="3" l="1"/>
  <c r="N62" i="3"/>
  <c r="N112" i="3"/>
  <c r="J114" i="3"/>
  <c r="AA114" i="3" s="1"/>
  <c r="AB114" i="3" s="1"/>
  <c r="AC114" i="3" s="1"/>
  <c r="AM114" i="3" s="1"/>
  <c r="M113" i="3"/>
  <c r="L113" i="3"/>
  <c r="I32" i="3"/>
  <c r="AB31" i="3"/>
  <c r="AC31" i="3" s="1"/>
  <c r="M31" i="3"/>
  <c r="L31" i="3"/>
  <c r="AB30" i="3"/>
  <c r="AC30" i="3" s="1"/>
  <c r="M30" i="3"/>
  <c r="L30" i="3"/>
  <c r="AB29" i="3"/>
  <c r="AC29" i="3" s="1"/>
  <c r="M29" i="3"/>
  <c r="AK29" i="3" s="1"/>
  <c r="L29" i="3"/>
  <c r="AB26" i="3"/>
  <c r="AB25" i="3"/>
  <c r="J24" i="3"/>
  <c r="AB23" i="3"/>
  <c r="M23" i="3"/>
  <c r="L23" i="3"/>
  <c r="AB22" i="3"/>
  <c r="M22" i="3"/>
  <c r="L22" i="3"/>
  <c r="AB21" i="3"/>
  <c r="AK21" i="3"/>
  <c r="AB20" i="3"/>
  <c r="L20" i="3"/>
  <c r="BH8" i="3"/>
  <c r="BI8" i="3" s="1"/>
  <c r="BG8" i="3"/>
  <c r="AL8" i="3"/>
  <c r="AB8" i="3"/>
  <c r="AC8" i="3" s="1"/>
  <c r="BF8" i="3"/>
  <c r="J9" i="3"/>
  <c r="AA9" i="3" s="1"/>
  <c r="AB9" i="3" s="1"/>
  <c r="AC9" i="3" s="1"/>
  <c r="L24" i="3" l="1"/>
  <c r="AA24" i="3"/>
  <c r="AB24" i="3" s="1"/>
  <c r="AC24" i="3" s="1"/>
  <c r="AM24" i="3" s="1"/>
  <c r="AA27" i="3"/>
  <c r="AB27" i="3" s="1"/>
  <c r="AC27" i="3" s="1"/>
  <c r="N113" i="3"/>
  <c r="M114" i="3"/>
  <c r="L114" i="3"/>
  <c r="N26" i="3"/>
  <c r="N23" i="3"/>
  <c r="N25" i="3"/>
  <c r="L8" i="3"/>
  <c r="AC22" i="3"/>
  <c r="AM22" i="3" s="1"/>
  <c r="AC25" i="3"/>
  <c r="AM25" i="3" s="1"/>
  <c r="N29" i="3"/>
  <c r="M8" i="3"/>
  <c r="AE8" i="3"/>
  <c r="AC21" i="3"/>
  <c r="AM21" i="3" s="1"/>
  <c r="M24" i="3"/>
  <c r="L27" i="3"/>
  <c r="N30" i="3"/>
  <c r="AM30" i="3"/>
  <c r="J28" i="3"/>
  <c r="AA28" i="3" s="1"/>
  <c r="AC20" i="3"/>
  <c r="AC26" i="3"/>
  <c r="AM26" i="3" s="1"/>
  <c r="N31" i="3"/>
  <c r="M20" i="3"/>
  <c r="AK20" i="3" s="1"/>
  <c r="AC23" i="3"/>
  <c r="AM23" i="3" s="1"/>
  <c r="AM29" i="3"/>
  <c r="J13" i="3"/>
  <c r="AA13" i="3" s="1"/>
  <c r="J16" i="3"/>
  <c r="AA16" i="3" s="1"/>
  <c r="AB16" i="3" s="1"/>
  <c r="AC16" i="3" s="1"/>
  <c r="AM16" i="3" s="1"/>
  <c r="J10" i="3"/>
  <c r="AA10" i="3" s="1"/>
  <c r="AB10" i="3" s="1"/>
  <c r="AC10" i="3" s="1"/>
  <c r="J12" i="3"/>
  <c r="AA12" i="3" s="1"/>
  <c r="AB12" i="3" s="1"/>
  <c r="AC12" i="3" s="1"/>
  <c r="L9" i="3"/>
  <c r="M9" i="3"/>
  <c r="AK9" i="3" s="1"/>
  <c r="AM31" i="3"/>
  <c r="J42" i="3"/>
  <c r="J33" i="3"/>
  <c r="AA33" i="3" s="1"/>
  <c r="J34" i="3"/>
  <c r="J11" i="3"/>
  <c r="AA11" i="3" s="1"/>
  <c r="AB11" i="3" s="1"/>
  <c r="AC11" i="3" s="1"/>
  <c r="N21" i="3"/>
  <c r="N22" i="3"/>
  <c r="L32" i="3"/>
  <c r="AB32" i="3"/>
  <c r="AC32" i="3" s="1"/>
  <c r="M32" i="3"/>
  <c r="AK32" i="3" s="1"/>
  <c r="M27" i="3"/>
  <c r="AK27" i="3" s="1"/>
  <c r="AM32" i="3" l="1"/>
  <c r="AA34" i="3"/>
  <c r="AB34" i="3" s="1"/>
  <c r="AC34" i="3" s="1"/>
  <c r="J35" i="3"/>
  <c r="AM27" i="3"/>
  <c r="AA42" i="3"/>
  <c r="AB42" i="3" s="1"/>
  <c r="AC42" i="3" s="1"/>
  <c r="AK142" i="3"/>
  <c r="AM142" i="3" s="1"/>
  <c r="N24" i="3"/>
  <c r="M16" i="3"/>
  <c r="L16" i="3"/>
  <c r="N114" i="3"/>
  <c r="N27" i="3"/>
  <c r="N20" i="3"/>
  <c r="N32" i="3"/>
  <c r="AM20" i="3"/>
  <c r="AK8" i="3"/>
  <c r="AM8" i="3" s="1"/>
  <c r="N8" i="3"/>
  <c r="L28" i="3"/>
  <c r="AB28" i="3"/>
  <c r="AC28" i="3" s="1"/>
  <c r="M28" i="3"/>
  <c r="AK28" i="3" s="1"/>
  <c r="AK135" i="3"/>
  <c r="AM135" i="3" s="1"/>
  <c r="J38" i="3"/>
  <c r="M34" i="3"/>
  <c r="AK34" i="3" s="1"/>
  <c r="L34" i="3"/>
  <c r="N9" i="3"/>
  <c r="AM9" i="3"/>
  <c r="J19" i="3"/>
  <c r="AA19" i="3" s="1"/>
  <c r="AB19" i="3" s="1"/>
  <c r="AC19" i="3" s="1"/>
  <c r="J17" i="3"/>
  <c r="AA17" i="3" s="1"/>
  <c r="AB17" i="3" s="1"/>
  <c r="AC17" i="3" s="1"/>
  <c r="M33" i="3"/>
  <c r="L33" i="3"/>
  <c r="AB33" i="3"/>
  <c r="AC33" i="3" s="1"/>
  <c r="AM33" i="3" s="1"/>
  <c r="AB13" i="3"/>
  <c r="AC13" i="3" s="1"/>
  <c r="AM13" i="3" s="1"/>
  <c r="J14" i="3"/>
  <c r="AA14" i="3" s="1"/>
  <c r="L13" i="3"/>
  <c r="M13" i="3"/>
  <c r="M10" i="3"/>
  <c r="AK10" i="3" s="1"/>
  <c r="L10" i="3"/>
  <c r="M11" i="3"/>
  <c r="AK11" i="3" s="1"/>
  <c r="L11" i="3"/>
  <c r="J43" i="3"/>
  <c r="M42" i="3"/>
  <c r="AK42" i="3" s="1"/>
  <c r="AM42" i="3" s="1"/>
  <c r="L42" i="3"/>
  <c r="L12" i="3"/>
  <c r="M12" i="3"/>
  <c r="AK12" i="3" s="1"/>
  <c r="AM34" i="3" l="1"/>
  <c r="AM28" i="3"/>
  <c r="AA38" i="3"/>
  <c r="AB38" i="3" s="1"/>
  <c r="AC38" i="3" s="1"/>
  <c r="AM38" i="3" s="1"/>
  <c r="AK138" i="3"/>
  <c r="AM138" i="3" s="1"/>
  <c r="AA43" i="3"/>
  <c r="AB43" i="3" s="1"/>
  <c r="AC43" i="3" s="1"/>
  <c r="AM43" i="3" s="1"/>
  <c r="AK143" i="3"/>
  <c r="AM143" i="3" s="1"/>
  <c r="J36" i="3"/>
  <c r="L36" i="3" s="1"/>
  <c r="AA35" i="3"/>
  <c r="AB35" i="3" s="1"/>
  <c r="AC35" i="3" s="1"/>
  <c r="AM35" i="3" s="1"/>
  <c r="N28" i="3"/>
  <c r="N16" i="3"/>
  <c r="N34" i="3"/>
  <c r="M35" i="3"/>
  <c r="N42" i="3"/>
  <c r="L35" i="3"/>
  <c r="N13" i="3"/>
  <c r="AM12" i="3"/>
  <c r="N12" i="3"/>
  <c r="J44" i="3"/>
  <c r="L43" i="3"/>
  <c r="M43" i="3" s="1"/>
  <c r="N43" i="3" s="1"/>
  <c r="AM11" i="3"/>
  <c r="N11" i="3"/>
  <c r="L19" i="3"/>
  <c r="M19" i="3"/>
  <c r="AK19" i="3" s="1"/>
  <c r="AM19" i="3" s="1"/>
  <c r="J39" i="3"/>
  <c r="M38" i="3"/>
  <c r="L38" i="3"/>
  <c r="AM10" i="3"/>
  <c r="N10" i="3"/>
  <c r="L17" i="3"/>
  <c r="J18" i="3"/>
  <c r="AA18" i="3" s="1"/>
  <c r="AB18" i="3" s="1"/>
  <c r="AC18" i="3" s="1"/>
  <c r="AM18" i="3" s="1"/>
  <c r="M17" i="3"/>
  <c r="AK17" i="3" s="1"/>
  <c r="AM17" i="3" s="1"/>
  <c r="M14" i="3"/>
  <c r="J15" i="3"/>
  <c r="AA15" i="3" s="1"/>
  <c r="AB14" i="3"/>
  <c r="AC14" i="3" s="1"/>
  <c r="AM14" i="3" s="1"/>
  <c r="L14" i="3"/>
  <c r="N33" i="3"/>
  <c r="AA36" i="3" l="1"/>
  <c r="AB36" i="3" s="1"/>
  <c r="AC36" i="3" s="1"/>
  <c r="AM36" i="3" s="1"/>
  <c r="AK136" i="3"/>
  <c r="AM136" i="3" s="1"/>
  <c r="J37" i="3"/>
  <c r="AA44" i="3"/>
  <c r="AB44" i="3" s="1"/>
  <c r="AC44" i="3" s="1"/>
  <c r="AM44" i="3" s="1"/>
  <c r="AK144" i="3"/>
  <c r="AM144" i="3" s="1"/>
  <c r="AA39" i="3"/>
  <c r="AB39" i="3" s="1"/>
  <c r="AC39" i="3" s="1"/>
  <c r="AM39" i="3" s="1"/>
  <c r="AK139" i="3"/>
  <c r="AM139" i="3" s="1"/>
  <c r="M36" i="3"/>
  <c r="N36" i="3" s="1"/>
  <c r="N17" i="3"/>
  <c r="N35" i="3"/>
  <c r="N14" i="3"/>
  <c r="N38" i="3"/>
  <c r="N19" i="3"/>
  <c r="L18" i="3"/>
  <c r="M18" i="3"/>
  <c r="M37" i="3"/>
  <c r="M15" i="3"/>
  <c r="AB15" i="3"/>
  <c r="AC15" i="3" s="1"/>
  <c r="AM15" i="3" s="1"/>
  <c r="L15" i="3"/>
  <c r="J45" i="3"/>
  <c r="L44" i="3"/>
  <c r="M44" i="3" s="1"/>
  <c r="N44" i="3" s="1"/>
  <c r="J40" i="3"/>
  <c r="M39" i="3"/>
  <c r="L39" i="3"/>
  <c r="AA37" i="3" l="1"/>
  <c r="AB37" i="3" s="1"/>
  <c r="AC37" i="3" s="1"/>
  <c r="AM37" i="3" s="1"/>
  <c r="AK137" i="3"/>
  <c r="AM137" i="3" s="1"/>
  <c r="AA45" i="3"/>
  <c r="AB45" i="3" s="1"/>
  <c r="AC45" i="3" s="1"/>
  <c r="AM45" i="3" s="1"/>
  <c r="AK145" i="3"/>
  <c r="AM145" i="3" s="1"/>
  <c r="AA40" i="3"/>
  <c r="AB40" i="3" s="1"/>
  <c r="AC40" i="3" s="1"/>
  <c r="AM40" i="3" s="1"/>
  <c r="AK140" i="3"/>
  <c r="AM140" i="3" s="1"/>
  <c r="L37" i="3"/>
  <c r="N37" i="3" s="1"/>
  <c r="L45" i="3"/>
  <c r="M45" i="3" s="1"/>
  <c r="N45" i="3" s="1"/>
  <c r="J47" i="3"/>
  <c r="AK74" i="3" s="1"/>
  <c r="AM74" i="3" s="1"/>
  <c r="N18" i="3"/>
  <c r="M40" i="3"/>
  <c r="L40" i="3"/>
  <c r="N15" i="3"/>
  <c r="N39" i="3"/>
  <c r="AA47" i="3" l="1"/>
  <c r="AB47" i="3" s="1"/>
  <c r="AC47" i="3" s="1"/>
  <c r="M47" i="3"/>
  <c r="AK47" i="3" s="1"/>
  <c r="J50" i="3"/>
  <c r="AA50" i="3" s="1"/>
  <c r="AB50" i="3" s="1"/>
  <c r="AC50" i="3" s="1"/>
  <c r="AM50" i="3" s="1"/>
  <c r="L47" i="3"/>
  <c r="J53" i="3"/>
  <c r="AA53" i="3" s="1"/>
  <c r="AB53" i="3" s="1"/>
  <c r="AC53" i="3" s="1"/>
  <c r="AM53" i="3" s="1"/>
  <c r="J49" i="3"/>
  <c r="N40" i="3"/>
  <c r="AA49" i="3" l="1"/>
  <c r="AB49" i="3" s="1"/>
  <c r="AC49" i="3" s="1"/>
  <c r="AM47" i="3"/>
  <c r="N47" i="3"/>
  <c r="M53" i="3"/>
  <c r="J54" i="3"/>
  <c r="AA54" i="3" s="1"/>
  <c r="AB54" i="3" s="1"/>
  <c r="AC54" i="3" s="1"/>
  <c r="AM54" i="3" s="1"/>
  <c r="L53" i="3"/>
  <c r="L49" i="3"/>
  <c r="M49" i="3"/>
  <c r="AK49" i="3" s="1"/>
  <c r="J51" i="3"/>
  <c r="AA51" i="3" s="1"/>
  <c r="AB51" i="3" s="1"/>
  <c r="AC51" i="3" s="1"/>
  <c r="AM51" i="3" s="1"/>
  <c r="L50" i="3"/>
  <c r="M50" i="3"/>
  <c r="N53" i="3" l="1"/>
  <c r="AM49" i="3"/>
  <c r="N49" i="3"/>
  <c r="N50" i="3"/>
  <c r="J52" i="3"/>
  <c r="AA52" i="3" s="1"/>
  <c r="AB52" i="3" s="1"/>
  <c r="AC52" i="3" s="1"/>
  <c r="AM52" i="3" s="1"/>
  <c r="M51" i="3"/>
  <c r="L51" i="3"/>
  <c r="J55" i="3"/>
  <c r="AA55" i="3" s="1"/>
  <c r="AB55" i="3" s="1"/>
  <c r="AC55" i="3" s="1"/>
  <c r="AM55" i="3" s="1"/>
  <c r="M54" i="3"/>
  <c r="N54" i="3" s="1"/>
  <c r="L54" i="3"/>
  <c r="N51" i="3" l="1"/>
  <c r="M55" i="3"/>
  <c r="L55" i="3"/>
  <c r="L52" i="3"/>
  <c r="M52" i="3"/>
  <c r="N55" i="3" l="1"/>
  <c r="N52" i="3"/>
</calcChain>
</file>

<file path=xl/sharedStrings.xml><?xml version="1.0" encoding="utf-8"?>
<sst xmlns="http://schemas.openxmlformats.org/spreadsheetml/2006/main" count="3023" uniqueCount="532">
  <si>
    <t>Pos.</t>
  </si>
  <si>
    <t>Part</t>
  </si>
  <si>
    <t>-</t>
  </si>
  <si>
    <t>Plate</t>
  </si>
  <si>
    <t>H.D.G</t>
  </si>
  <si>
    <t>M6</t>
  </si>
  <si>
    <t>mm</t>
  </si>
  <si>
    <t>SP</t>
  </si>
  <si>
    <t>Hex Bolt</t>
  </si>
  <si>
    <t>Hex Nut</t>
  </si>
  <si>
    <t>Electroplated</t>
  </si>
  <si>
    <t xml:space="preserve">Mat </t>
  </si>
  <si>
    <t>S1</t>
  </si>
  <si>
    <t>S2</t>
  </si>
  <si>
    <t>S3</t>
  </si>
  <si>
    <t>S4</t>
  </si>
  <si>
    <t>QP</t>
  </si>
  <si>
    <t>M10</t>
  </si>
  <si>
    <t>Spring Washer</t>
  </si>
  <si>
    <t>SC</t>
  </si>
  <si>
    <t>Din 933</t>
  </si>
  <si>
    <t>Din 934</t>
  </si>
  <si>
    <t>Din 127</t>
  </si>
  <si>
    <t>M10x30</t>
  </si>
  <si>
    <t>F</t>
  </si>
  <si>
    <t>A10</t>
  </si>
  <si>
    <t>M8x20</t>
  </si>
  <si>
    <t>M8</t>
  </si>
  <si>
    <t>A8</t>
  </si>
  <si>
    <t>Kg</t>
  </si>
  <si>
    <t>Pcs</t>
  </si>
  <si>
    <t>Unit</t>
  </si>
  <si>
    <t xml:space="preserve">NQ </t>
  </si>
  <si>
    <t>GQ</t>
  </si>
  <si>
    <t>01</t>
  </si>
  <si>
    <t>02</t>
  </si>
  <si>
    <t>03</t>
  </si>
  <si>
    <t>04</t>
  </si>
  <si>
    <t>05</t>
  </si>
  <si>
    <t>06</t>
  </si>
  <si>
    <t>07</t>
  </si>
  <si>
    <t>08</t>
  </si>
  <si>
    <t>09</t>
  </si>
  <si>
    <t>Pos</t>
  </si>
  <si>
    <t>Material</t>
  </si>
  <si>
    <t>Standard</t>
  </si>
  <si>
    <t>Mat Spec</t>
  </si>
  <si>
    <t>00</t>
  </si>
  <si>
    <t>10</t>
  </si>
  <si>
    <t>11</t>
  </si>
  <si>
    <t>12</t>
  </si>
  <si>
    <t>Sub Product</t>
  </si>
  <si>
    <t>زیر محصول</t>
  </si>
  <si>
    <t>SPQ</t>
  </si>
  <si>
    <t>در محصول</t>
  </si>
  <si>
    <t>تعداد</t>
  </si>
  <si>
    <t>مجموعه</t>
  </si>
  <si>
    <t>ASQ</t>
  </si>
  <si>
    <t>مجموعه در</t>
  </si>
  <si>
    <t xml:space="preserve">تعداد </t>
  </si>
  <si>
    <t>Part Code</t>
  </si>
  <si>
    <t>MATWHC</t>
  </si>
  <si>
    <t>کد انبار مواد</t>
  </si>
  <si>
    <t>PQAS</t>
  </si>
  <si>
    <t>در مجموعه</t>
  </si>
  <si>
    <t>تعداد قطعه</t>
  </si>
  <si>
    <t>PQSP</t>
  </si>
  <si>
    <t>تعداد قطعه در</t>
  </si>
  <si>
    <t>PQR</t>
  </si>
  <si>
    <t>MATQU</t>
  </si>
  <si>
    <t>در یک قطعه</t>
  </si>
  <si>
    <t>ناخالص مواد</t>
  </si>
  <si>
    <t>مقدار</t>
  </si>
  <si>
    <t>MATU</t>
  </si>
  <si>
    <t>شمارش مواد</t>
  </si>
  <si>
    <t xml:space="preserve">واحد  </t>
  </si>
  <si>
    <t>MATQT</t>
  </si>
  <si>
    <t>واحد محصول</t>
  </si>
  <si>
    <t xml:space="preserve">مقدار ناخاص
</t>
  </si>
  <si>
    <t xml:space="preserve"> مواد در یک </t>
  </si>
  <si>
    <t>St-37</t>
  </si>
  <si>
    <t>شرح مواد</t>
  </si>
  <si>
    <t>مطابق</t>
  </si>
  <si>
    <t>کاردکس انبار</t>
  </si>
  <si>
    <t>Grand Total</t>
  </si>
  <si>
    <t>Row Labels</t>
  </si>
  <si>
    <t>Sum of MATQT</t>
  </si>
  <si>
    <t>شماره مرجع مشتری</t>
  </si>
  <si>
    <t>ایستگاه /آیتم
Station 
Item</t>
  </si>
  <si>
    <t xml:space="preserve">Product </t>
  </si>
  <si>
    <t xml:space="preserve">کد محصول
PCode </t>
  </si>
  <si>
    <t>تعداد محصول در سفارش
QPO</t>
  </si>
  <si>
    <t>SPQP</t>
  </si>
  <si>
    <t>SPQO</t>
  </si>
  <si>
    <t>BOM</t>
  </si>
  <si>
    <t>MTO</t>
  </si>
  <si>
    <t>مقدار کل</t>
  </si>
  <si>
    <t xml:space="preserve"> سفارش</t>
  </si>
  <si>
    <t xml:space="preserve"> مواد در</t>
  </si>
  <si>
    <t>کد</t>
  </si>
  <si>
    <t>انبار مواد</t>
  </si>
  <si>
    <t>واشر فنری 10</t>
  </si>
  <si>
    <t>واشر تخت 30*10</t>
  </si>
  <si>
    <t>واشر تخت 30*8</t>
  </si>
  <si>
    <t>000012010006</t>
  </si>
  <si>
    <t>000012010010</t>
  </si>
  <si>
    <t>000012111010</t>
  </si>
  <si>
    <t>271100030012</t>
  </si>
  <si>
    <t>000011011030</t>
  </si>
  <si>
    <t>000011010820</t>
  </si>
  <si>
    <t>000012010008</t>
  </si>
  <si>
    <t>000012100830</t>
  </si>
  <si>
    <t>part Name/کاردکس انبار</t>
  </si>
  <si>
    <t>Front Drum</t>
  </si>
  <si>
    <t>SSP</t>
  </si>
  <si>
    <t>توری پانچی</t>
  </si>
  <si>
    <t>C.R.P</t>
  </si>
  <si>
    <t>Diameter</t>
  </si>
  <si>
    <t>Length</t>
  </si>
  <si>
    <t>ناودانی جلوی بدنه</t>
  </si>
  <si>
    <t>ناودانی میانی بدنه</t>
  </si>
  <si>
    <t>نبشی بدنه</t>
  </si>
  <si>
    <t>ناودانی تقویتی</t>
  </si>
  <si>
    <t>پیچ اتصال کپه ها</t>
  </si>
  <si>
    <t>مهره اتصال کپه ها</t>
  </si>
  <si>
    <t>واشر فنری اتصال کپه ها</t>
  </si>
  <si>
    <t>نوار خاردار</t>
  </si>
  <si>
    <t>تسمه نوار خاردار</t>
  </si>
  <si>
    <t>Flat Bar</t>
  </si>
  <si>
    <t>صفحه زیر نوار خاردار</t>
  </si>
  <si>
    <t>پیچ ورشو نوار خاردار</t>
  </si>
  <si>
    <t>Self Threaded Bolt</t>
  </si>
  <si>
    <t>M1/4"x30</t>
  </si>
  <si>
    <t>Din 7983</t>
  </si>
  <si>
    <t>تسمه کلیدی</t>
  </si>
  <si>
    <t>تسمه نوار عرضی</t>
  </si>
  <si>
    <t>بست تسمه نوار عرضی</t>
  </si>
  <si>
    <t>Angle 30x30</t>
  </si>
  <si>
    <t>پیچ بست تسمه نوار عرضی</t>
  </si>
  <si>
    <t>M1/4"x10</t>
  </si>
  <si>
    <t>پیچ تسمه نوار عرضی</t>
  </si>
  <si>
    <t>M6x100</t>
  </si>
  <si>
    <t>مهره تسمه نوار عرضی</t>
  </si>
  <si>
    <t>صفحه و شفت</t>
  </si>
  <si>
    <t xml:space="preserve"> شفت سمت متحرک</t>
  </si>
  <si>
    <t>Round Bar</t>
  </si>
  <si>
    <t>صفحه شفت</t>
  </si>
  <si>
    <t>صفحه</t>
  </si>
  <si>
    <t>پیچ صفحه شفت</t>
  </si>
  <si>
    <t>مهره صفحه شفت</t>
  </si>
  <si>
    <t>M14</t>
  </si>
  <si>
    <t>واشر فنری صفحه شفت</t>
  </si>
  <si>
    <t>A14</t>
  </si>
  <si>
    <t>بازو</t>
  </si>
  <si>
    <t>فیلتر</t>
  </si>
  <si>
    <t>بدنه</t>
  </si>
  <si>
    <t>ناودانی بازو</t>
  </si>
  <si>
    <t>لوله تقویتی ناودانی بازو</t>
  </si>
  <si>
    <t>Pipe</t>
  </si>
  <si>
    <t>A-53</t>
  </si>
  <si>
    <t>1/2"-Sch30</t>
  </si>
  <si>
    <t>ورق اتصال مثلثی</t>
  </si>
  <si>
    <t>پیچ اتصال صفحه مثلثی به بدنه</t>
  </si>
  <si>
    <t>M8x30</t>
  </si>
  <si>
    <t>مهره اتصال صفحه مثلثی به بدنه</t>
  </si>
  <si>
    <t>واشر فنری اتصال صفحه مثلثی به بدنه</t>
  </si>
  <si>
    <t>پیچ لتصال صفحه مثلثی به بازو</t>
  </si>
  <si>
    <t>مهره لتصال صفحه مثلثی به بازو</t>
  </si>
  <si>
    <t>واشر فنری اتصال صفحه مثلثی به بازو</t>
  </si>
  <si>
    <t>پولی فلزی روتاری</t>
  </si>
  <si>
    <t>UPN40</t>
  </si>
  <si>
    <t>نگهدارنده پولی فلزی</t>
  </si>
  <si>
    <t>پیچ اتصال پولی به بازو</t>
  </si>
  <si>
    <t>مهره اتصال پولی به بازو</t>
  </si>
  <si>
    <t>واشر فنری اتصال پولی به بازو</t>
  </si>
  <si>
    <t>Midle Drum</t>
  </si>
  <si>
    <t>فیلتر اسفنجی</t>
  </si>
  <si>
    <t>PPI 45</t>
  </si>
  <si>
    <t>End Drum</t>
  </si>
  <si>
    <t>پایه ثابت</t>
  </si>
  <si>
    <t>صفحه زیر یاتاقان</t>
  </si>
  <si>
    <t>صفحه زیر پایه</t>
  </si>
  <si>
    <t>ناودانی پایه</t>
  </si>
  <si>
    <t>تقویتی پایه</t>
  </si>
  <si>
    <t>یاتاقان</t>
  </si>
  <si>
    <t>پیچ  یاتاقان</t>
  </si>
  <si>
    <t>مهره یاتاقان</t>
  </si>
  <si>
    <t>واشر تخت یاتاقان</t>
  </si>
  <si>
    <t>واشر فنری یاتاقان</t>
  </si>
  <si>
    <t>واشر استپ پشت یاتاقان</t>
  </si>
  <si>
    <t>پیچ واشر استپ</t>
  </si>
  <si>
    <t>واشر فنری واشر استپ</t>
  </si>
  <si>
    <t>M18x70</t>
  </si>
  <si>
    <t>Flat Washer</t>
  </si>
  <si>
    <t>UCP 212</t>
  </si>
  <si>
    <t>UCP</t>
  </si>
  <si>
    <t>M18</t>
  </si>
  <si>
    <t>A18</t>
  </si>
  <si>
    <t>M14x50</t>
  </si>
  <si>
    <t>S</t>
  </si>
  <si>
    <t>Din 126</t>
  </si>
  <si>
    <t>OD 70</t>
  </si>
  <si>
    <t>اتصالات پایه ثابت</t>
  </si>
  <si>
    <t>پیچ رولپلاگ</t>
  </si>
  <si>
    <t>رولپلاگ</t>
  </si>
  <si>
    <t>8x80</t>
  </si>
  <si>
    <t>M8x80</t>
  </si>
  <si>
    <t>پایه متحرک</t>
  </si>
  <si>
    <t>درپوش قوطی تقویتی</t>
  </si>
  <si>
    <t>نبشی هرزگرد</t>
  </si>
  <si>
    <t>نبشی نگهدارنده صفحه موتور</t>
  </si>
  <si>
    <t>میل پیچ</t>
  </si>
  <si>
    <t>صفحه نگهدارنده میل پیچ</t>
  </si>
  <si>
    <t>صفحه اتصال پولی به میل پیچ</t>
  </si>
  <si>
    <t>صفحه نگهدارنده پولی</t>
  </si>
  <si>
    <t>لوله تقویتی قوطی عرضی</t>
  </si>
  <si>
    <t>پیچ قوطی تقویتی</t>
  </si>
  <si>
    <t>مهره قوطی تقویتی</t>
  </si>
  <si>
    <t>واشر تخت قوطی تقویتی</t>
  </si>
  <si>
    <t>واشر فنری قوطی تقویتی</t>
  </si>
  <si>
    <t>مهره سر میل پیچ</t>
  </si>
  <si>
    <t>اشپیل مهره میل پیچ</t>
  </si>
  <si>
    <t>قوطی عرضی</t>
  </si>
  <si>
    <t>قوطی طولی</t>
  </si>
  <si>
    <t>قوطی تقویتی</t>
  </si>
  <si>
    <t>صفحه زیر الکترو موتور</t>
  </si>
  <si>
    <t>نگهدارنده صفحه زیر 
الکترو موتور</t>
  </si>
  <si>
    <t>رابط قوطی عرضی و تقویتی</t>
  </si>
  <si>
    <t>Box</t>
  </si>
  <si>
    <t>Angle 40x40</t>
  </si>
  <si>
    <t>لاستیک هوابند</t>
  </si>
  <si>
    <t>Screw</t>
  </si>
  <si>
    <t>A-36</t>
  </si>
  <si>
    <t>Ø14x303</t>
  </si>
  <si>
    <t>M14x90</t>
  </si>
  <si>
    <t>A14x30</t>
  </si>
  <si>
    <t>Din 94</t>
  </si>
  <si>
    <t>Cutter Pin</t>
  </si>
  <si>
    <t>2.6x30</t>
  </si>
  <si>
    <t>اتصالات پایه متحرک</t>
  </si>
  <si>
    <t>Raw plug</t>
  </si>
  <si>
    <t>قاب</t>
  </si>
  <si>
    <t>سینی شماره 1</t>
  </si>
  <si>
    <t>سینی شماره 2</t>
  </si>
  <si>
    <t>سینی شماره 3</t>
  </si>
  <si>
    <t>سینی شماره 4</t>
  </si>
  <si>
    <t>سینی شماره 5</t>
  </si>
  <si>
    <t>سینی شماره 6</t>
  </si>
  <si>
    <t>سینی شماره 7</t>
  </si>
  <si>
    <t>سینی شماره 8</t>
  </si>
  <si>
    <t>اتصالات قاب</t>
  </si>
  <si>
    <t>پیچ اتصال سینی</t>
  </si>
  <si>
    <t>مهره اتصال سینی</t>
  </si>
  <si>
    <t>پیچ اتصال نبشی</t>
  </si>
  <si>
    <t>مهره اتصال نبشی</t>
  </si>
  <si>
    <t>پیچ ورشو اتصال نبشی تقویتی به سینی</t>
  </si>
  <si>
    <t>مهره چهارگوش اتصال نبشی به سینی</t>
  </si>
  <si>
    <t>Square Nut</t>
  </si>
  <si>
    <t>M1/4"x25</t>
  </si>
  <si>
    <t>M1/4"</t>
  </si>
  <si>
    <t>Din 555</t>
  </si>
  <si>
    <t>نبشی قاب</t>
  </si>
  <si>
    <t>نبشی قاب جلو روتاری</t>
  </si>
  <si>
    <t>ورق اتصال سر نبشی</t>
  </si>
  <si>
    <t>سیستم محرک</t>
  </si>
  <si>
    <t>پولی تسمه سفت کن</t>
  </si>
  <si>
    <t>بیرینگ</t>
  </si>
  <si>
    <t>پیچ پولی تسمه سفت کن</t>
  </si>
  <si>
    <t>مهره پولی تسمه سفت کن</t>
  </si>
  <si>
    <t>واشر پولی تسمه سفت کن</t>
  </si>
  <si>
    <t>PE</t>
  </si>
  <si>
    <t xml:space="preserve">6201z </t>
  </si>
  <si>
    <t>M12x100</t>
  </si>
  <si>
    <t>M12</t>
  </si>
  <si>
    <t>A12</t>
  </si>
  <si>
    <t>Din 931</t>
  </si>
  <si>
    <t>انتقال قدرت</t>
  </si>
  <si>
    <t>پولی چدنی</t>
  </si>
  <si>
    <t>شفت الکتروگیربکس</t>
  </si>
  <si>
    <t>خار شفت الکتروگیربکس 1</t>
  </si>
  <si>
    <t>خار شفت الکتروگیربکس 2</t>
  </si>
  <si>
    <t>واشر تخت سر الکترو گیربکس</t>
  </si>
  <si>
    <t xml:space="preserve">تسمه سبز روتاری </t>
  </si>
  <si>
    <t>Casted Iron</t>
  </si>
  <si>
    <t>Casting</t>
  </si>
  <si>
    <t>Square Bar</t>
  </si>
  <si>
    <t>الکتروگیربکس</t>
  </si>
  <si>
    <t>الکتروگیربکس روتاری</t>
  </si>
  <si>
    <t>0.37 kw</t>
  </si>
  <si>
    <t>اتصالات الکتروگیربکس</t>
  </si>
  <si>
    <t>پیچ اتصال الکتروگیربکس</t>
  </si>
  <si>
    <t>مهره اتصال الکتروگیربکس</t>
  </si>
  <si>
    <t>واشر تخت الکترو گیربکس</t>
  </si>
  <si>
    <t>واشر فنری الکترو گیربکس</t>
  </si>
  <si>
    <t>A8x30</t>
  </si>
  <si>
    <t>اتصالات صفحه الکتروگیربکس</t>
  </si>
  <si>
    <t>پیچ اتصال صفحه الکترو گیربکس</t>
  </si>
  <si>
    <t>مهره اتصال صفحه الکترو گیربکس</t>
  </si>
  <si>
    <t>واشر تخت  صفحه الکترو گیربکس</t>
  </si>
  <si>
    <t>واشر فنری صفحه الکترو گیربکس</t>
  </si>
  <si>
    <t>A8x20</t>
  </si>
  <si>
    <t>Din126</t>
  </si>
  <si>
    <t>Drum</t>
  </si>
  <si>
    <t>پیچ اتصال تکه ها</t>
  </si>
  <si>
    <t>مهره اتصال تکه ها</t>
  </si>
  <si>
    <t>واشر فنری اتصال تکه ها</t>
  </si>
  <si>
    <t>ناودانی انتهایی بدنه</t>
  </si>
  <si>
    <t xml:space="preserve"> شفت سمت ثابت</t>
  </si>
  <si>
    <t>M14x140</t>
  </si>
  <si>
    <t>پیچ اتصال صفحه مثلثی به بازو</t>
  </si>
  <si>
    <t>مهره اتصال صفحه مثلثی به بازو</t>
  </si>
  <si>
    <t>صفحه انتهایی</t>
  </si>
  <si>
    <t>پیچ اتصال صفحه انتهایی به ناودانی بازو</t>
  </si>
  <si>
    <t>مهره اتصال صفحه انتهایی به ناودانی بازو</t>
  </si>
  <si>
    <t>M6x20</t>
  </si>
  <si>
    <t>ناودانی تقویتی سینی</t>
  </si>
  <si>
    <t>نبشی تقویتی میانی</t>
  </si>
  <si>
    <t>صفحه اتصال نبشی تقویتی</t>
  </si>
  <si>
    <t>پیچ نبشی تقویتی میانی</t>
  </si>
  <si>
    <t>مهره نبشی تقویتی میانی</t>
  </si>
  <si>
    <t>واشر فنری نبشی تقویتی میانی</t>
  </si>
  <si>
    <t>واشر فنری صفحه مثلثی به بدنه</t>
  </si>
  <si>
    <t>pcs</t>
  </si>
  <si>
    <t>kg</t>
  </si>
  <si>
    <t>Assm</t>
  </si>
  <si>
    <t>P</t>
  </si>
  <si>
    <t>13</t>
  </si>
  <si>
    <t>14</t>
  </si>
  <si>
    <t>15</t>
  </si>
  <si>
    <t>16</t>
  </si>
  <si>
    <t>17</t>
  </si>
  <si>
    <t>18</t>
  </si>
  <si>
    <t>19</t>
  </si>
  <si>
    <t>20</t>
  </si>
  <si>
    <t>21</t>
  </si>
  <si>
    <t>22</t>
  </si>
  <si>
    <t>1.5x840x1570</t>
  </si>
  <si>
    <t>4x131x1900</t>
  </si>
  <si>
    <t>4x73x1570</t>
  </si>
  <si>
    <t>2x67x1800</t>
  </si>
  <si>
    <t xml:space="preserve">M8 </t>
  </si>
  <si>
    <t>L=1700</t>
  </si>
  <si>
    <t>1.5x30x1700</t>
  </si>
  <si>
    <t>1/4"x30</t>
  </si>
  <si>
    <t>1.5x100x1700</t>
  </si>
  <si>
    <t>30x30x30</t>
  </si>
  <si>
    <t>1/4"x10</t>
  </si>
  <si>
    <t>Ø=65 , L=300</t>
  </si>
  <si>
    <t>10x350x350</t>
  </si>
  <si>
    <t>10x70x120</t>
  </si>
  <si>
    <t>Ø=22 , L=88</t>
  </si>
  <si>
    <t>8x155x270</t>
  </si>
  <si>
    <t>M10*30</t>
  </si>
  <si>
    <t xml:space="preserve">A10 </t>
  </si>
  <si>
    <t>4x40x80</t>
  </si>
  <si>
    <t xml:space="preserve">M10 </t>
  </si>
  <si>
    <t>4x121x1900</t>
  </si>
  <si>
    <t>Ø=65 , L=260</t>
  </si>
  <si>
    <t>20x140x250</t>
  </si>
  <si>
    <t>10x440x440</t>
  </si>
  <si>
    <t>8x155x155</t>
  </si>
  <si>
    <t>UCP212</t>
  </si>
  <si>
    <t xml:space="preserve">M18 </t>
  </si>
  <si>
    <t>Thk 8 OD 70 M14</t>
  </si>
  <si>
    <t>20x90x400</t>
  </si>
  <si>
    <t>10x120x160</t>
  </si>
  <si>
    <t>70x70, L=350</t>
  </si>
  <si>
    <t>3x300x150</t>
  </si>
  <si>
    <t>4x70x150</t>
  </si>
  <si>
    <t>4x70x70</t>
  </si>
  <si>
    <t>Ø=14 , L=303</t>
  </si>
  <si>
    <t>8x40x50</t>
  </si>
  <si>
    <t>8x40x40</t>
  </si>
  <si>
    <t>8x40x100</t>
  </si>
  <si>
    <t>Ø=22 , L=70</t>
  </si>
  <si>
    <t>40x40,L=6000</t>
  </si>
  <si>
    <t>4x40x40</t>
  </si>
  <si>
    <t>Ø=65, L=70</t>
  </si>
  <si>
    <t>چدن ریخته گری</t>
  </si>
  <si>
    <t>Ø=35 , L=160</t>
  </si>
  <si>
    <t>6x6x60</t>
  </si>
  <si>
    <t>6x6x90</t>
  </si>
  <si>
    <t>8x30 Thk 3</t>
  </si>
  <si>
    <t>0.37 کیلووات</t>
  </si>
  <si>
    <t>000012111008</t>
  </si>
  <si>
    <t>000013081430</t>
  </si>
  <si>
    <t>000013081410</t>
  </si>
  <si>
    <t>000011010695</t>
  </si>
  <si>
    <t>000952000027</t>
  </si>
  <si>
    <t>000011011497</t>
  </si>
  <si>
    <t>000012010014</t>
  </si>
  <si>
    <t>000012111014</t>
  </si>
  <si>
    <t>000011010830</t>
  </si>
  <si>
    <t>000011010620</t>
  </si>
  <si>
    <t>000200500060</t>
  </si>
  <si>
    <t>000011011870</t>
  </si>
  <si>
    <t>000012010018</t>
  </si>
  <si>
    <t>000012101830</t>
  </si>
  <si>
    <t>000012111018</t>
  </si>
  <si>
    <t>000011011450</t>
  </si>
  <si>
    <t>000012101430</t>
  </si>
  <si>
    <t>000013060880</t>
  </si>
  <si>
    <t>000013070880</t>
  </si>
  <si>
    <t>000011011490</t>
  </si>
  <si>
    <t>000013300003</t>
  </si>
  <si>
    <t>000013081425</t>
  </si>
  <si>
    <t>0000120901/4</t>
  </si>
  <si>
    <t>000020016201</t>
  </si>
  <si>
    <t>000011051295</t>
  </si>
  <si>
    <t>000952000028</t>
  </si>
  <si>
    <t>000952011500</t>
  </si>
  <si>
    <t>000012100820</t>
  </si>
  <si>
    <t>ورق روغنی 1000*1.5</t>
  </si>
  <si>
    <t>ورق سیاه 1250*4</t>
  </si>
  <si>
    <t>ورق گالوانیزه 1000*2</t>
  </si>
  <si>
    <t>پیچ تمام حدیده M8*20</t>
  </si>
  <si>
    <t>مهره دنده درشت M8</t>
  </si>
  <si>
    <t>واشر فنری 8</t>
  </si>
  <si>
    <t>پیچ سرگرد دوسو 30*1/4</t>
  </si>
  <si>
    <t>ورق گالوانیزه 1000*1.5</t>
  </si>
  <si>
    <t>تسمه گالوانیزه عرض 32 میلیمتر</t>
  </si>
  <si>
    <t>نبشی آهن 30*30</t>
  </si>
  <si>
    <t>پیچ سرگرد دوسو 10*1/4</t>
  </si>
  <si>
    <t>پیچ تمام حدیده M6*100</t>
  </si>
  <si>
    <t>مهره دنده درشت M6</t>
  </si>
  <si>
    <t>اسفنجی فیلتر هوا مشکی PPI45</t>
  </si>
  <si>
    <t>میلگرد آهن 65</t>
  </si>
  <si>
    <t>ورق سیاه 1500*10</t>
  </si>
  <si>
    <t>پیچ تمام حدیده M14*140</t>
  </si>
  <si>
    <t>مهره دنده درشت M14</t>
  </si>
  <si>
    <t>واشر فنری 14</t>
  </si>
  <si>
    <t>لوله آهن گازی "1/2</t>
  </si>
  <si>
    <t>ورق سیاه 1500*8</t>
  </si>
  <si>
    <t>پیچ تمام حدیده M8*30</t>
  </si>
  <si>
    <t>پیچ تمام حدیده M10*30</t>
  </si>
  <si>
    <t>مهره دنده درشت M10</t>
  </si>
  <si>
    <t>ناودانی آهن 40</t>
  </si>
  <si>
    <t>لاستیک نخ دار خام</t>
  </si>
  <si>
    <t>پیچ تمام حدیده M6*20</t>
  </si>
  <si>
    <t>ورق سیاه 1500*20</t>
  </si>
  <si>
    <t xml:space="preserve">یاتاقان بلبرینگ پایه دار UCP212 </t>
  </si>
  <si>
    <t>پیچ تمام حدیده M18*70</t>
  </si>
  <si>
    <t>مهره دنده درشت M18</t>
  </si>
  <si>
    <t>واشر تخت 35*18</t>
  </si>
  <si>
    <t>واشر فنری 18</t>
  </si>
  <si>
    <t>پیچ تمام حدیده M14*50</t>
  </si>
  <si>
    <t>قوطی آهن 70*70</t>
  </si>
  <si>
    <t>ورق سیاه 1250*3</t>
  </si>
  <si>
    <t>نبشی آهن 40*40</t>
  </si>
  <si>
    <t>شفت تمام حدیده M14</t>
  </si>
  <si>
    <t>پیچ تمام حدیده M14*90</t>
  </si>
  <si>
    <t>واشر تخت 30*14</t>
  </si>
  <si>
    <t>اشپیل 3</t>
  </si>
  <si>
    <t>پیچ ورشو تمام حدیده</t>
  </si>
  <si>
    <t>مهره چهار گوش</t>
  </si>
  <si>
    <t>میلگرد پلی اتیلن سفید 65</t>
  </si>
  <si>
    <t>بلبرینگ 6201</t>
  </si>
  <si>
    <t>پیچ 1/3 حدیده  M12*100</t>
  </si>
  <si>
    <t>پولی چدنی گیربکس روتاری هوا خام</t>
  </si>
  <si>
    <t>میلگرد آهن 35</t>
  </si>
  <si>
    <t>میل چهارگوش آهن 6*6</t>
  </si>
  <si>
    <t>الکتروگیربکس روتاری هوا 0.37 kw*1450rpm</t>
  </si>
  <si>
    <t>واشر تخت 20*8</t>
  </si>
  <si>
    <t>000110150100</t>
  </si>
  <si>
    <t>000130400125</t>
  </si>
  <si>
    <t>000140200100</t>
  </si>
  <si>
    <t>000952000015</t>
  </si>
  <si>
    <t>000140150100</t>
  </si>
  <si>
    <t>000069040014</t>
  </si>
  <si>
    <t>000221030303</t>
  </si>
  <si>
    <t>000251100065</t>
  </si>
  <si>
    <t>000131000150</t>
  </si>
  <si>
    <t>000130800150</t>
  </si>
  <si>
    <t>000291000040</t>
  </si>
  <si>
    <t>00048240001</t>
  </si>
  <si>
    <t>000231070070</t>
  </si>
  <si>
    <t>000221040404</t>
  </si>
  <si>
    <t>000039240014</t>
  </si>
  <si>
    <t>000259110065</t>
  </si>
  <si>
    <t>00025140006</t>
  </si>
  <si>
    <t>000050100/37</t>
  </si>
  <si>
    <t>0000251100035</t>
  </si>
  <si>
    <t>000130300125</t>
  </si>
  <si>
    <t>000132000150</t>
  </si>
  <si>
    <t>1</t>
  </si>
  <si>
    <t>M8x20-5.6-Electroplated-Din 933</t>
  </si>
  <si>
    <t>M6-5-Electroplated-Din 934</t>
  </si>
  <si>
    <t>M8-5-Electroplated-Din 934</t>
  </si>
  <si>
    <t>A8-F-Electroplated-Din 127</t>
  </si>
  <si>
    <t>M1/4"x30-5.6-Electroplated-Din 7983</t>
  </si>
  <si>
    <t>M1/4"x10-5.6-Electroplated-Din 7983</t>
  </si>
  <si>
    <t>M6x100-5.6-Electroplated-Din 933</t>
  </si>
  <si>
    <t>M14-5-Electroplated-Din 934</t>
  </si>
  <si>
    <t>A14-F-Electroplated-Din 127</t>
  </si>
  <si>
    <t>A-53-1/2"-Sch30</t>
  </si>
  <si>
    <t>M8x30-5.6-Electroplated-Din 933</t>
  </si>
  <si>
    <t>M10x30-5.6-Electroplated-Din 933</t>
  </si>
  <si>
    <t xml:space="preserve">M6 </t>
  </si>
  <si>
    <t xml:space="preserve">تسمه نوار خاردار خام </t>
  </si>
  <si>
    <t>Rotary Air Filter</t>
  </si>
  <si>
    <t>2.6x30---Electroplated-Din 94</t>
  </si>
  <si>
    <t>M12x100-5.6-Electroplated-Din 931</t>
  </si>
  <si>
    <t>M14x140-5.6-Electroplated-Din 933</t>
  </si>
  <si>
    <t>M14x50-5.6-Electroplated-Din 933</t>
  </si>
  <si>
    <t>M14x90-5.6-Electroplated-Din 933</t>
  </si>
  <si>
    <t>M18x70-5.6-Electroplated-Din 933</t>
  </si>
  <si>
    <t>M6x20-5.6-Electroplated-Din 933</t>
  </si>
  <si>
    <t>M8x80-5.6-Electroplated-Din 933</t>
  </si>
  <si>
    <t>M1/4"x25-5.6-Electroplated-Din 7983</t>
  </si>
  <si>
    <t>A-36-Ø14x303</t>
  </si>
  <si>
    <t>M1/4"-5-Electroplated-Din 555</t>
  </si>
  <si>
    <t>M10-5-Electroplated-Din 934</t>
  </si>
  <si>
    <t>M12-5-Electroplated-Din 934</t>
  </si>
  <si>
    <t>M18-5-Electroplated-Din 934</t>
  </si>
  <si>
    <t>A8x20-S-Electroplated-Din126</t>
  </si>
  <si>
    <t>A12-S-Electroplated-Din 126</t>
  </si>
  <si>
    <t>A14x30-S-Electroplated-Din 126</t>
  </si>
  <si>
    <t>A8x30-S-Electroplated-Din 126</t>
  </si>
  <si>
    <t>A10-F-Electroplated-Din 127</t>
  </si>
  <si>
    <t>A18-F-Electroplated-Din 127</t>
  </si>
  <si>
    <t>UCP-212</t>
  </si>
  <si>
    <t>مهره دنده درشت M12</t>
  </si>
  <si>
    <t>000012010012</t>
  </si>
  <si>
    <t>A18x35</t>
  </si>
  <si>
    <t>A18x35-S-Electroplated-Din 126</t>
  </si>
  <si>
    <t>پیچ تمام حدیده M8*80</t>
  </si>
  <si>
    <t>تسمه سبز روتاری2000</t>
  </si>
  <si>
    <t>St-12</t>
  </si>
  <si>
    <t xml:space="preserve"> نوار خاردار</t>
  </si>
  <si>
    <t>Din 7972</t>
  </si>
  <si>
    <t>پیچ 1/3 حدیده M14*140</t>
  </si>
  <si>
    <t>For M14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</si>
</sst>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1"/>
      <color rgb="FFC00000"/>
      <name val="Calibri"/>
      <family val="2"/>
      <scheme val="minor"/>
    </font>
    <font>
      <sz val="8"/>
      <name val="Calibri"/>
      <family val="2"/>
      <scheme val="minor"/>
    </font>
    <font>
      <b/>
      <sz val="8"/>
      <name val="Calibri"/>
      <family val="2"/>
      <scheme val="minor"/>
    </font>
    <font>
      <b/>
      <sz val="10"/>
      <color rgb="FFC00000"/>
      <name val="Calibri"/>
      <family val="2"/>
      <scheme val="minor"/>
    </font>
    <font>
      <sz val="9"/>
      <name val="Calibri"/>
      <family val="2"/>
      <scheme val="minor"/>
    </font>
    <font>
      <sz val="9"/>
      <color rgb="FFFF0000"/>
      <name val="Calibri"/>
      <family val="2"/>
      <scheme val="minor"/>
    </font>
    <font>
      <sz val="8"/>
      <color rgb="FFFF0000"/>
      <name val="Calibri"/>
      <family val="2"/>
      <scheme val="minor"/>
    </font>
  </fonts>
  <fills count="22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rgb="FFFF0000"/>
        <bgColor indexed="64"/>
      </patternFill>
    </fill>
  </fills>
  <borders count="3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</borders>
  <cellStyleXfs count="2">
    <xf numFmtId="0" fontId="0" fillId="0" borderId="0"/>
    <xf numFmtId="9" fontId="1" fillId="0" borderId="0" applyFont="0" applyFill="0" applyBorder="0" applyAlignment="0" applyProtection="0"/>
  </cellStyleXfs>
  <cellXfs count="1210">
    <xf numFmtId="0" fontId="0" fillId="0" borderId="0" xfId="0"/>
    <xf numFmtId="0" fontId="2" fillId="0" borderId="0" xfId="0" applyFont="1"/>
    <xf numFmtId="0" fontId="2" fillId="0" borderId="0" xfId="0" applyFont="1" applyProtection="1">
      <protection locked="0"/>
    </xf>
    <xf numFmtId="0" fontId="2" fillId="3" borderId="2" xfId="0" applyFont="1" applyFill="1" applyBorder="1" applyAlignment="1" applyProtection="1">
      <alignment horizontal="left" vertical="center"/>
      <protection locked="0"/>
    </xf>
    <xf numFmtId="0" fontId="2" fillId="0" borderId="2" xfId="0" applyFont="1" applyFill="1" applyBorder="1" applyAlignment="1" applyProtection="1">
      <alignment horizontal="center"/>
    </xf>
    <xf numFmtId="0" fontId="2" fillId="3" borderId="2" xfId="0" applyFont="1" applyFill="1" applyBorder="1" applyAlignment="1" applyProtection="1">
      <alignment horizontal="center"/>
      <protection locked="0"/>
    </xf>
    <xf numFmtId="0" fontId="2" fillId="0" borderId="0" xfId="0" applyFont="1" applyBorder="1" applyProtection="1">
      <protection locked="0"/>
    </xf>
    <xf numFmtId="0" fontId="2" fillId="0" borderId="0" xfId="0" applyFont="1" applyBorder="1"/>
    <xf numFmtId="0" fontId="6" fillId="0" borderId="0" xfId="0" applyFont="1" applyFill="1" applyBorder="1" applyAlignment="1">
      <alignment horizontal="center" vertical="center" readingOrder="1"/>
    </xf>
    <xf numFmtId="0" fontId="6" fillId="0" borderId="0" xfId="0" quotePrefix="1" applyFont="1" applyFill="1" applyBorder="1" applyAlignment="1">
      <alignment horizontal="center" vertical="center" readingOrder="1"/>
    </xf>
    <xf numFmtId="0" fontId="3" fillId="0" borderId="0" xfId="0" applyFont="1" applyFill="1" applyBorder="1" applyAlignment="1">
      <alignment horizontal="center" vertical="center"/>
    </xf>
    <xf numFmtId="0" fontId="6" fillId="2" borderId="5" xfId="0" applyFont="1" applyFill="1" applyBorder="1" applyAlignment="1">
      <alignment horizontal="center" vertical="center" readingOrder="1"/>
    </xf>
    <xf numFmtId="0" fontId="6" fillId="2" borderId="5" xfId="0" quotePrefix="1" applyFont="1" applyFill="1" applyBorder="1" applyAlignment="1">
      <alignment horizontal="center" vertical="center" readingOrder="1"/>
    </xf>
    <xf numFmtId="0" fontId="6" fillId="2" borderId="5" xfId="0" quotePrefix="1" applyFont="1" applyFill="1" applyBorder="1" applyAlignment="1">
      <alignment horizontal="left" vertical="center" readingOrder="1"/>
    </xf>
    <xf numFmtId="2" fontId="6" fillId="2" borderId="5" xfId="0" quotePrefix="1" applyNumberFormat="1" applyFont="1" applyFill="1" applyBorder="1" applyAlignment="1">
      <alignment horizontal="center" vertical="center" readingOrder="1"/>
    </xf>
    <xf numFmtId="2" fontId="6" fillId="2" borderId="6" xfId="0" quotePrefix="1" applyNumberFormat="1" applyFont="1" applyFill="1" applyBorder="1" applyAlignment="1">
      <alignment horizontal="center" vertical="center"/>
    </xf>
    <xf numFmtId="0" fontId="6" fillId="2" borderId="1" xfId="0" applyFont="1" applyFill="1" applyBorder="1" applyAlignment="1">
      <alignment horizontal="center" vertical="center" readingOrder="1"/>
    </xf>
    <xf numFmtId="0" fontId="6" fillId="2" borderId="1" xfId="0" quotePrefix="1" applyFont="1" applyFill="1" applyBorder="1" applyAlignment="1">
      <alignment horizontal="center" vertical="center" readingOrder="1"/>
    </xf>
    <xf numFmtId="0" fontId="6" fillId="2" borderId="1" xfId="0" quotePrefix="1" applyFont="1" applyFill="1" applyBorder="1" applyAlignment="1">
      <alignment horizontal="left" vertical="center" readingOrder="1"/>
    </xf>
    <xf numFmtId="2" fontId="6" fillId="2" borderId="1" xfId="0" quotePrefix="1" applyNumberFormat="1" applyFont="1" applyFill="1" applyBorder="1" applyAlignment="1">
      <alignment horizontal="center" vertical="center" readingOrder="1"/>
    </xf>
    <xf numFmtId="2" fontId="6" fillId="2" borderId="8" xfId="0" quotePrefix="1" applyNumberFormat="1" applyFont="1" applyFill="1" applyBorder="1" applyAlignment="1">
      <alignment horizontal="center" vertical="center"/>
    </xf>
    <xf numFmtId="0" fontId="6" fillId="4" borderId="5" xfId="0" applyFont="1" applyFill="1" applyBorder="1" applyAlignment="1">
      <alignment horizontal="center" vertical="center" readingOrder="1"/>
    </xf>
    <xf numFmtId="0" fontId="6" fillId="4" borderId="5" xfId="0" quotePrefix="1" applyFont="1" applyFill="1" applyBorder="1" applyAlignment="1">
      <alignment horizontal="center" vertical="center" readingOrder="1"/>
    </xf>
    <xf numFmtId="0" fontId="6" fillId="4" borderId="5" xfId="0" quotePrefix="1" applyFont="1" applyFill="1" applyBorder="1" applyAlignment="1">
      <alignment horizontal="left" vertical="center" readingOrder="1"/>
    </xf>
    <xf numFmtId="0" fontId="6" fillId="4" borderId="1" xfId="0" applyFont="1" applyFill="1" applyBorder="1" applyAlignment="1">
      <alignment horizontal="center" vertical="center" readingOrder="1"/>
    </xf>
    <xf numFmtId="0" fontId="6" fillId="4" borderId="1" xfId="0" quotePrefix="1" applyFont="1" applyFill="1" applyBorder="1" applyAlignment="1">
      <alignment horizontal="center" vertical="center" readingOrder="1"/>
    </xf>
    <xf numFmtId="0" fontId="6" fillId="4" borderId="1" xfId="0" quotePrefix="1" applyFont="1" applyFill="1" applyBorder="1" applyAlignment="1">
      <alignment horizontal="left" vertical="center" readingOrder="1"/>
    </xf>
    <xf numFmtId="2" fontId="6" fillId="2" borderId="1" xfId="0" quotePrefix="1" applyNumberFormat="1" applyFont="1" applyFill="1" applyBorder="1" applyAlignment="1">
      <alignment horizontal="center" vertical="center"/>
    </xf>
    <xf numFmtId="1" fontId="6" fillId="2" borderId="1" xfId="0" quotePrefix="1" applyNumberFormat="1" applyFont="1" applyFill="1" applyBorder="1" applyAlignment="1">
      <alignment horizontal="center" vertical="center"/>
    </xf>
    <xf numFmtId="2" fontId="6" fillId="2" borderId="7" xfId="0" quotePrefix="1" applyNumberFormat="1" applyFont="1" applyFill="1" applyBorder="1" applyAlignment="1">
      <alignment horizontal="center" vertical="center"/>
    </xf>
    <xf numFmtId="2" fontId="6" fillId="2" borderId="4" xfId="0" quotePrefix="1" applyNumberFormat="1" applyFont="1" applyFill="1" applyBorder="1" applyAlignment="1">
      <alignment horizontal="center" vertical="center"/>
    </xf>
    <xf numFmtId="2" fontId="6" fillId="2" borderId="5" xfId="0" quotePrefix="1" applyNumberFormat="1" applyFont="1" applyFill="1" applyBorder="1" applyAlignment="1">
      <alignment horizontal="center" vertical="center"/>
    </xf>
    <xf numFmtId="0" fontId="6" fillId="4" borderId="10" xfId="0" quotePrefix="1" applyFont="1" applyFill="1" applyBorder="1" applyAlignment="1">
      <alignment horizontal="center" vertical="center" readingOrder="1"/>
    </xf>
    <xf numFmtId="0" fontId="0" fillId="0" borderId="0" xfId="0" applyFont="1"/>
    <xf numFmtId="49" fontId="6" fillId="0" borderId="0" xfId="0" applyNumberFormat="1" applyFont="1" applyFill="1" applyBorder="1" applyAlignment="1">
      <alignment horizontal="center" vertical="center" readingOrder="1"/>
    </xf>
    <xf numFmtId="0" fontId="6" fillId="0" borderId="0" xfId="0" applyNumberFormat="1" applyFont="1" applyFill="1" applyBorder="1" applyAlignment="1">
      <alignment horizontal="center" vertical="center" readingOrder="1"/>
    </xf>
    <xf numFmtId="49" fontId="7" fillId="9" borderId="3" xfId="0" applyNumberFormat="1" applyFont="1" applyFill="1" applyBorder="1" applyAlignment="1">
      <alignment horizontal="center" vertical="center" readingOrder="1"/>
    </xf>
    <xf numFmtId="49" fontId="7" fillId="9" borderId="24" xfId="0" applyNumberFormat="1" applyFont="1" applyFill="1" applyBorder="1" applyAlignment="1">
      <alignment horizontal="center" vertical="center" readingOrder="1"/>
    </xf>
    <xf numFmtId="49" fontId="7" fillId="9" borderId="21" xfId="0" applyNumberFormat="1" applyFont="1" applyFill="1" applyBorder="1" applyAlignment="1">
      <alignment horizontal="center" vertical="center" readingOrder="1"/>
    </xf>
    <xf numFmtId="49" fontId="7" fillId="9" borderId="20" xfId="0" applyNumberFormat="1" applyFont="1" applyFill="1" applyBorder="1" applyAlignment="1">
      <alignment horizontal="center" vertical="center" readingOrder="1"/>
    </xf>
    <xf numFmtId="0" fontId="0" fillId="0" borderId="0" xfId="0" applyNumberFormat="1" applyFont="1"/>
    <xf numFmtId="49" fontId="6" fillId="2" borderId="5" xfId="0" applyNumberFormat="1" applyFont="1" applyFill="1" applyBorder="1" applyAlignment="1">
      <alignment horizontal="center" vertical="center" readingOrder="1"/>
    </xf>
    <xf numFmtId="49" fontId="6" fillId="2" borderId="19" xfId="0" applyNumberFormat="1" applyFont="1" applyFill="1" applyBorder="1" applyAlignment="1">
      <alignment horizontal="center" vertical="center" readingOrder="1"/>
    </xf>
    <xf numFmtId="49" fontId="6" fillId="2" borderId="1" xfId="0" applyNumberFormat="1" applyFont="1" applyFill="1" applyBorder="1" applyAlignment="1">
      <alignment horizontal="center" vertical="center" readingOrder="1"/>
    </xf>
    <xf numFmtId="49" fontId="6" fillId="4" borderId="5" xfId="0" applyNumberFormat="1" applyFont="1" applyFill="1" applyBorder="1" applyAlignment="1">
      <alignment horizontal="center" vertical="center" readingOrder="1"/>
    </xf>
    <xf numFmtId="0" fontId="6" fillId="4" borderId="5" xfId="0" applyNumberFormat="1" applyFont="1" applyFill="1" applyBorder="1" applyAlignment="1">
      <alignment horizontal="center" vertical="center" readingOrder="1"/>
    </xf>
    <xf numFmtId="49" fontId="6" fillId="4" borderId="1" xfId="0" applyNumberFormat="1" applyFont="1" applyFill="1" applyBorder="1" applyAlignment="1">
      <alignment horizontal="center" vertical="center" readingOrder="1"/>
    </xf>
    <xf numFmtId="0" fontId="6" fillId="4" borderId="1" xfId="0" applyNumberFormat="1" applyFont="1" applyFill="1" applyBorder="1" applyAlignment="1">
      <alignment horizontal="center" vertical="center" readingOrder="1"/>
    </xf>
    <xf numFmtId="0" fontId="2" fillId="9" borderId="3" xfId="0" applyFont="1" applyFill="1" applyBorder="1"/>
    <xf numFmtId="0" fontId="2" fillId="9" borderId="21" xfId="0" applyFont="1" applyFill="1" applyBorder="1"/>
    <xf numFmtId="0" fontId="0" fillId="9" borderId="21" xfId="0" applyFont="1" applyFill="1" applyBorder="1" applyAlignment="1">
      <alignment horizontal="center" vertical="center"/>
    </xf>
    <xf numFmtId="0" fontId="2" fillId="9" borderId="3" xfId="0" applyFont="1" applyFill="1" applyBorder="1" applyAlignment="1">
      <alignment horizontal="center" vertical="center"/>
    </xf>
    <xf numFmtId="0" fontId="2" fillId="9" borderId="21" xfId="0" applyFont="1" applyFill="1" applyBorder="1" applyAlignment="1">
      <alignment horizontal="center" vertical="center"/>
    </xf>
    <xf numFmtId="0" fontId="0" fillId="11" borderId="2" xfId="0" applyNumberFormat="1" applyFont="1" applyFill="1" applyBorder="1" applyAlignment="1">
      <alignment horizontal="center" vertical="center"/>
    </xf>
    <xf numFmtId="0" fontId="0" fillId="11" borderId="2" xfId="0" applyNumberFormat="1" applyFont="1" applyFill="1" applyBorder="1"/>
    <xf numFmtId="0" fontId="0" fillId="11" borderId="2" xfId="0" applyFont="1" applyFill="1" applyBorder="1"/>
    <xf numFmtId="0" fontId="0" fillId="11" borderId="2" xfId="0" applyFont="1" applyFill="1" applyBorder="1" applyAlignment="1">
      <alignment horizontal="center" vertical="center"/>
    </xf>
    <xf numFmtId="0" fontId="8" fillId="12" borderId="2" xfId="0" applyFont="1" applyFill="1" applyBorder="1" applyAlignment="1">
      <alignment horizontal="center" vertical="center"/>
    </xf>
    <xf numFmtId="0" fontId="5" fillId="12" borderId="2" xfId="0" quotePrefix="1" applyFont="1" applyFill="1" applyBorder="1" applyAlignment="1">
      <alignment horizontal="center" vertical="center" readingOrder="1"/>
    </xf>
    <xf numFmtId="0" fontId="6" fillId="4" borderId="10" xfId="0" applyFont="1" applyFill="1" applyBorder="1" applyAlignment="1">
      <alignment horizontal="center" vertical="center" readingOrder="1"/>
    </xf>
    <xf numFmtId="49" fontId="6" fillId="4" borderId="10" xfId="0" applyNumberFormat="1" applyFont="1" applyFill="1" applyBorder="1" applyAlignment="1">
      <alignment horizontal="center" vertical="center" readingOrder="1"/>
    </xf>
    <xf numFmtId="0" fontId="6" fillId="4" borderId="10" xfId="0" applyNumberFormat="1" applyFont="1" applyFill="1" applyBorder="1" applyAlignment="1">
      <alignment horizontal="center" vertical="center" readingOrder="1"/>
    </xf>
    <xf numFmtId="0" fontId="6" fillId="4" borderId="10" xfId="0" quotePrefix="1" applyFont="1" applyFill="1" applyBorder="1" applyAlignment="1">
      <alignment horizontal="left" vertical="center" readingOrder="1"/>
    </xf>
    <xf numFmtId="0" fontId="9" fillId="2" borderId="5" xfId="0" applyFont="1" applyFill="1" applyBorder="1" applyAlignment="1" applyProtection="1">
      <alignment horizontal="left" vertical="center"/>
      <protection locked="0"/>
    </xf>
    <xf numFmtId="0" fontId="9" fillId="2" borderId="5" xfId="0" applyFont="1" applyFill="1" applyBorder="1" applyAlignment="1" applyProtection="1">
      <alignment horizontal="center" vertical="center"/>
      <protection locked="0"/>
    </xf>
    <xf numFmtId="2" fontId="9" fillId="2" borderId="5" xfId="0" applyNumberFormat="1" applyFont="1" applyFill="1" applyBorder="1" applyAlignment="1" applyProtection="1">
      <alignment horizontal="center" vertical="center"/>
      <protection locked="0"/>
    </xf>
    <xf numFmtId="9" fontId="9" fillId="2" borderId="6" xfId="1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center" vertical="center"/>
      <protection locked="0"/>
    </xf>
    <xf numFmtId="0" fontId="9" fillId="2" borderId="1" xfId="0" applyFont="1" applyFill="1" applyBorder="1" applyAlignment="1" applyProtection="1">
      <alignment horizontal="left" vertical="center"/>
      <protection locked="0"/>
    </xf>
    <xf numFmtId="2" fontId="9" fillId="2" borderId="1" xfId="0" applyNumberFormat="1" applyFont="1" applyFill="1" applyBorder="1" applyAlignment="1" applyProtection="1">
      <alignment horizontal="center" vertical="center"/>
      <protection locked="0"/>
    </xf>
    <xf numFmtId="9" fontId="9" fillId="2" borderId="8" xfId="1" applyFont="1" applyFill="1" applyBorder="1" applyAlignment="1" applyProtection="1">
      <alignment horizontal="center" vertical="center"/>
      <protection locked="0"/>
    </xf>
    <xf numFmtId="0" fontId="9" fillId="2" borderId="1" xfId="0" applyNumberFormat="1" applyFont="1" applyFill="1" applyBorder="1" applyAlignment="1" applyProtection="1">
      <alignment horizontal="center" vertical="center"/>
      <protection locked="0"/>
    </xf>
    <xf numFmtId="0" fontId="9" fillId="2" borderId="5" xfId="0" applyNumberFormat="1" applyFont="1" applyFill="1" applyBorder="1" applyAlignment="1" applyProtection="1">
      <alignment horizontal="center" vertical="center"/>
      <protection locked="0"/>
    </xf>
    <xf numFmtId="0" fontId="9" fillId="15" borderId="5" xfId="0" applyFont="1" applyFill="1" applyBorder="1" applyAlignment="1" applyProtection="1">
      <alignment horizontal="left" vertical="center"/>
      <protection locked="0"/>
    </xf>
    <xf numFmtId="0" fontId="9" fillId="15" borderId="5" xfId="0" applyFont="1" applyFill="1" applyBorder="1" applyAlignment="1" applyProtection="1">
      <alignment horizontal="center" vertical="center"/>
      <protection locked="0"/>
    </xf>
    <xf numFmtId="2" fontId="9" fillId="15" borderId="5" xfId="0" applyNumberFormat="1" applyFont="1" applyFill="1" applyBorder="1" applyAlignment="1" applyProtection="1">
      <alignment horizontal="center" vertical="center"/>
      <protection locked="0"/>
    </xf>
    <xf numFmtId="9" fontId="9" fillId="15" borderId="6" xfId="1" applyFont="1" applyFill="1" applyBorder="1" applyAlignment="1" applyProtection="1">
      <alignment horizontal="center" vertical="center"/>
      <protection locked="0"/>
    </xf>
    <xf numFmtId="0" fontId="9" fillId="15" borderId="1" xfId="0" applyFont="1" applyFill="1" applyBorder="1" applyAlignment="1" applyProtection="1">
      <alignment horizontal="center" vertical="center"/>
      <protection locked="0"/>
    </xf>
    <xf numFmtId="0" fontId="9" fillId="15" borderId="1" xfId="0" applyFont="1" applyFill="1" applyBorder="1" applyAlignment="1" applyProtection="1">
      <alignment horizontal="left" vertical="center"/>
      <protection locked="0"/>
    </xf>
    <xf numFmtId="2" fontId="9" fillId="15" borderId="1" xfId="0" applyNumberFormat="1" applyFont="1" applyFill="1" applyBorder="1" applyAlignment="1" applyProtection="1">
      <alignment horizontal="center" vertical="center"/>
      <protection locked="0"/>
    </xf>
    <xf numFmtId="9" fontId="9" fillId="15" borderId="8" xfId="1" applyFont="1" applyFill="1" applyBorder="1" applyAlignment="1" applyProtection="1">
      <alignment horizontal="center" vertical="center"/>
      <protection locked="0"/>
    </xf>
    <xf numFmtId="0" fontId="9" fillId="15" borderId="1" xfId="0" applyNumberFormat="1" applyFont="1" applyFill="1" applyBorder="1" applyAlignment="1" applyProtection="1">
      <alignment horizontal="center" vertical="center"/>
      <protection locked="0"/>
    </xf>
    <xf numFmtId="0" fontId="9" fillId="15" borderId="10" xfId="0" applyFont="1" applyFill="1" applyBorder="1" applyAlignment="1" applyProtection="1">
      <alignment horizontal="center" vertical="center"/>
      <protection locked="0"/>
    </xf>
    <xf numFmtId="0" fontId="9" fillId="15" borderId="10" xfId="0" applyFont="1" applyFill="1" applyBorder="1" applyAlignment="1" applyProtection="1">
      <alignment horizontal="left" vertical="center"/>
      <protection locked="0"/>
    </xf>
    <xf numFmtId="0" fontId="9" fillId="15" borderId="10" xfId="0" applyNumberFormat="1" applyFont="1" applyFill="1" applyBorder="1" applyAlignment="1" applyProtection="1">
      <alignment horizontal="center" vertical="center"/>
      <protection locked="0"/>
    </xf>
    <xf numFmtId="9" fontId="9" fillId="15" borderId="15" xfId="1" applyFont="1" applyFill="1" applyBorder="1" applyAlignment="1" applyProtection="1">
      <alignment horizontal="center" vertical="center"/>
      <protection locked="0"/>
    </xf>
    <xf numFmtId="0" fontId="9" fillId="14" borderId="1" xfId="0" applyFont="1" applyFill="1" applyBorder="1" applyAlignment="1" applyProtection="1">
      <alignment horizontal="center" vertical="center"/>
      <protection locked="0"/>
    </xf>
    <xf numFmtId="0" fontId="9" fillId="14" borderId="1" xfId="0" applyFont="1" applyFill="1" applyBorder="1" applyAlignment="1" applyProtection="1">
      <alignment horizontal="left" vertical="center"/>
      <protection locked="0"/>
    </xf>
    <xf numFmtId="2" fontId="9" fillId="14" borderId="1" xfId="0" applyNumberFormat="1" applyFont="1" applyFill="1" applyBorder="1" applyAlignment="1" applyProtection="1">
      <alignment horizontal="center" vertical="center"/>
      <protection locked="0"/>
    </xf>
    <xf numFmtId="9" fontId="9" fillId="14" borderId="8" xfId="1" applyFont="1" applyFill="1" applyBorder="1" applyAlignment="1" applyProtection="1">
      <alignment horizontal="center" vertical="center"/>
      <protection locked="0"/>
    </xf>
    <xf numFmtId="1" fontId="9" fillId="15" borderId="1" xfId="0" applyNumberFormat="1" applyFont="1" applyFill="1" applyBorder="1" applyAlignment="1" applyProtection="1">
      <alignment horizontal="center" vertical="center"/>
      <protection locked="0"/>
    </xf>
    <xf numFmtId="0" fontId="9" fillId="8" borderId="5" xfId="0" applyFont="1" applyFill="1" applyBorder="1" applyAlignment="1" applyProtection="1">
      <alignment horizontal="center" vertical="center"/>
      <protection locked="0"/>
    </xf>
    <xf numFmtId="0" fontId="9" fillId="8" borderId="5" xfId="0" applyFont="1" applyFill="1" applyBorder="1" applyAlignment="1" applyProtection="1">
      <alignment horizontal="left" vertical="center"/>
      <protection locked="0"/>
    </xf>
    <xf numFmtId="9" fontId="9" fillId="8" borderId="6" xfId="1" applyFont="1" applyFill="1" applyBorder="1" applyAlignment="1" applyProtection="1">
      <alignment horizontal="center" vertical="center"/>
      <protection locked="0"/>
    </xf>
    <xf numFmtId="0" fontId="9" fillId="8" borderId="1" xfId="0" applyFont="1" applyFill="1" applyBorder="1" applyAlignment="1" applyProtection="1">
      <alignment horizontal="center" vertical="center"/>
      <protection locked="0"/>
    </xf>
    <xf numFmtId="0" fontId="9" fillId="8" borderId="1" xfId="0" applyFont="1" applyFill="1" applyBorder="1" applyAlignment="1" applyProtection="1">
      <alignment horizontal="left" vertical="center"/>
      <protection locked="0"/>
    </xf>
    <xf numFmtId="2" fontId="9" fillId="8" borderId="1" xfId="0" applyNumberFormat="1" applyFont="1" applyFill="1" applyBorder="1" applyAlignment="1" applyProtection="1">
      <alignment horizontal="center" vertical="center"/>
      <protection locked="0"/>
    </xf>
    <xf numFmtId="9" fontId="9" fillId="8" borderId="8" xfId="1" applyFont="1" applyFill="1" applyBorder="1" applyAlignment="1" applyProtection="1">
      <alignment horizontal="center" vertical="center"/>
      <protection locked="0"/>
    </xf>
    <xf numFmtId="1" fontId="9" fillId="8" borderId="1" xfId="0" applyNumberFormat="1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center" vertical="center"/>
      <protection locked="0"/>
    </xf>
    <xf numFmtId="0" fontId="9" fillId="8" borderId="10" xfId="0" applyFont="1" applyFill="1" applyBorder="1" applyAlignment="1" applyProtection="1">
      <alignment horizontal="left" vertical="center"/>
      <protection locked="0"/>
    </xf>
    <xf numFmtId="9" fontId="9" fillId="8" borderId="15" xfId="1" applyFont="1" applyFill="1" applyBorder="1" applyAlignment="1" applyProtection="1">
      <alignment horizontal="center" vertical="center"/>
      <protection locked="0"/>
    </xf>
    <xf numFmtId="0" fontId="9" fillId="15" borderId="5" xfId="0" applyFont="1" applyFill="1" applyBorder="1" applyAlignment="1" applyProtection="1">
      <alignment vertical="center"/>
      <protection locked="0"/>
    </xf>
    <xf numFmtId="0" fontId="9" fillId="15" borderId="5" xfId="0" applyFont="1" applyFill="1" applyBorder="1" applyProtection="1">
      <protection locked="0"/>
    </xf>
    <xf numFmtId="0" fontId="9" fillId="15" borderId="1" xfId="0" applyFont="1" applyFill="1" applyBorder="1" applyAlignment="1" applyProtection="1">
      <alignment vertical="center"/>
      <protection locked="0"/>
    </xf>
    <xf numFmtId="0" fontId="9" fillId="15" borderId="1" xfId="0" applyFont="1" applyFill="1" applyBorder="1" applyProtection="1">
      <protection locked="0"/>
    </xf>
    <xf numFmtId="0" fontId="2" fillId="3" borderId="3" xfId="0" applyFont="1" applyFill="1" applyBorder="1" applyAlignment="1" applyProtection="1">
      <alignment horizontal="left" vertical="center"/>
      <protection locked="0"/>
    </xf>
    <xf numFmtId="0" fontId="2" fillId="0" borderId="0" xfId="0" applyFont="1" applyFill="1" applyBorder="1" applyAlignment="1" applyProtection="1">
      <alignment horizontal="left" vertical="center"/>
      <protection locked="0"/>
    </xf>
    <xf numFmtId="1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  <protection locked="0"/>
    </xf>
    <xf numFmtId="2" fontId="2" fillId="0" borderId="0" xfId="0" applyNumberFormat="1" applyFont="1" applyFill="1" applyBorder="1" applyAlignment="1" applyProtection="1">
      <alignment horizontal="center"/>
    </xf>
    <xf numFmtId="0" fontId="2" fillId="0" borderId="0" xfId="0" applyFont="1" applyFill="1" applyBorder="1" applyAlignment="1" applyProtection="1">
      <alignment horizontal="center"/>
    </xf>
    <xf numFmtId="0" fontId="2" fillId="0" borderId="3" xfId="0" applyFont="1" applyBorder="1" applyAlignment="1" applyProtection="1">
      <alignment horizontal="center" vertical="center"/>
      <protection locked="0"/>
    </xf>
    <xf numFmtId="0" fontId="2" fillId="3" borderId="3" xfId="0" applyFont="1" applyFill="1" applyBorder="1" applyAlignment="1" applyProtection="1">
      <alignment horizontal="center" vertical="center"/>
      <protection locked="0"/>
    </xf>
    <xf numFmtId="0" fontId="9" fillId="11" borderId="1" xfId="0" applyFont="1" applyFill="1" applyBorder="1" applyAlignment="1" applyProtection="1">
      <alignment horizontal="center" vertical="center"/>
      <protection locked="0"/>
    </xf>
    <xf numFmtId="0" fontId="9" fillId="11" borderId="1" xfId="0" applyFont="1" applyFill="1" applyBorder="1" applyAlignment="1" applyProtection="1">
      <alignment horizontal="left" vertical="center"/>
      <protection locked="0"/>
    </xf>
    <xf numFmtId="2" fontId="9" fillId="11" borderId="1" xfId="0" applyNumberFormat="1" applyFont="1" applyFill="1" applyBorder="1" applyAlignment="1" applyProtection="1">
      <alignment horizontal="center" vertical="center"/>
      <protection locked="0"/>
    </xf>
    <xf numFmtId="0" fontId="9" fillId="11" borderId="1" xfId="0" applyNumberFormat="1" applyFont="1" applyFill="1" applyBorder="1" applyAlignment="1" applyProtection="1">
      <alignment horizontal="center" vertical="center"/>
      <protection locked="0"/>
    </xf>
    <xf numFmtId="0" fontId="9" fillId="16" borderId="1" xfId="0" applyFont="1" applyFill="1" applyBorder="1" applyAlignment="1" applyProtection="1">
      <alignment horizontal="center" vertical="center"/>
      <protection locked="0"/>
    </xf>
    <xf numFmtId="0" fontId="9" fillId="16" borderId="1" xfId="0" applyFont="1" applyFill="1" applyBorder="1" applyAlignment="1" applyProtection="1">
      <alignment horizontal="left" vertical="center"/>
      <protection locked="0"/>
    </xf>
    <xf numFmtId="2" fontId="9" fillId="16" borderId="1" xfId="0" applyNumberFormat="1" applyFont="1" applyFill="1" applyBorder="1" applyAlignment="1" applyProtection="1">
      <alignment horizontal="center" vertical="center"/>
      <protection locked="0"/>
    </xf>
    <xf numFmtId="0" fontId="9" fillId="16" borderId="1" xfId="0" applyNumberFormat="1" applyFont="1" applyFill="1" applyBorder="1" applyAlignment="1" applyProtection="1">
      <alignment horizontal="center" vertical="center"/>
      <protection locked="0"/>
    </xf>
    <xf numFmtId="0" fontId="9" fillId="11" borderId="1" xfId="0" applyFont="1" applyFill="1" applyBorder="1" applyProtection="1">
      <protection locked="0"/>
    </xf>
    <xf numFmtId="0" fontId="9" fillId="11" borderId="5" xfId="0" applyFont="1" applyFill="1" applyBorder="1" applyProtection="1">
      <protection locked="0"/>
    </xf>
    <xf numFmtId="0" fontId="9" fillId="11" borderId="5" xfId="0" applyFont="1" applyFill="1" applyBorder="1" applyAlignment="1" applyProtection="1">
      <alignment horizontal="center" vertical="center"/>
      <protection locked="0"/>
    </xf>
    <xf numFmtId="0" fontId="9" fillId="11" borderId="5" xfId="0" applyFont="1" applyFill="1" applyBorder="1" applyAlignment="1" applyProtection="1">
      <alignment horizontal="left" vertical="center"/>
      <protection locked="0"/>
    </xf>
    <xf numFmtId="2" fontId="9" fillId="11" borderId="5" xfId="0" applyNumberFormat="1" applyFont="1" applyFill="1" applyBorder="1" applyAlignment="1" applyProtection="1">
      <alignment horizontal="center" vertical="center"/>
      <protection locked="0"/>
    </xf>
    <xf numFmtId="9" fontId="9" fillId="11" borderId="6" xfId="1" applyFont="1" applyFill="1" applyBorder="1" applyAlignment="1" applyProtection="1">
      <alignment horizontal="center" vertical="center"/>
      <protection locked="0"/>
    </xf>
    <xf numFmtId="9" fontId="9" fillId="11" borderId="8" xfId="1" applyFont="1" applyFill="1" applyBorder="1" applyAlignment="1" applyProtection="1">
      <alignment horizontal="center" vertical="center"/>
      <protection locked="0"/>
    </xf>
    <xf numFmtId="0" fontId="9" fillId="11" borderId="10" xfId="0" applyFont="1" applyFill="1" applyBorder="1" applyProtection="1">
      <protection locked="0"/>
    </xf>
    <xf numFmtId="0" fontId="9" fillId="11" borderId="10" xfId="0" applyFont="1" applyFill="1" applyBorder="1" applyAlignment="1" applyProtection="1">
      <alignment horizontal="center" vertical="center"/>
      <protection locked="0"/>
    </xf>
    <xf numFmtId="0" fontId="9" fillId="11" borderId="10" xfId="0" applyFont="1" applyFill="1" applyBorder="1" applyAlignment="1" applyProtection="1">
      <alignment horizontal="left" vertical="center"/>
      <protection locked="0"/>
    </xf>
    <xf numFmtId="9" fontId="9" fillId="11" borderId="15" xfId="1" applyFont="1" applyFill="1" applyBorder="1" applyAlignment="1" applyProtection="1">
      <alignment horizontal="center" vertical="center"/>
      <protection locked="0"/>
    </xf>
    <xf numFmtId="0" fontId="9" fillId="16" borderId="5" xfId="0" applyFont="1" applyFill="1" applyBorder="1" applyProtection="1">
      <protection locked="0"/>
    </xf>
    <xf numFmtId="0" fontId="9" fillId="16" borderId="5" xfId="0" applyFont="1" applyFill="1" applyBorder="1" applyAlignment="1" applyProtection="1">
      <alignment horizontal="center" vertical="center"/>
      <protection locked="0"/>
    </xf>
    <xf numFmtId="0" fontId="9" fillId="16" borderId="5" xfId="0" applyFont="1" applyFill="1" applyBorder="1" applyAlignment="1" applyProtection="1">
      <alignment horizontal="left" vertical="center"/>
      <protection locked="0"/>
    </xf>
    <xf numFmtId="0" fontId="9" fillId="16" borderId="5" xfId="0" applyNumberFormat="1" applyFont="1" applyFill="1" applyBorder="1" applyAlignment="1" applyProtection="1">
      <alignment horizontal="center" vertical="center"/>
      <protection locked="0"/>
    </xf>
    <xf numFmtId="9" fontId="9" fillId="16" borderId="6" xfId="1" applyFont="1" applyFill="1" applyBorder="1" applyAlignment="1" applyProtection="1">
      <alignment horizontal="center" vertical="center"/>
      <protection locked="0"/>
    </xf>
    <xf numFmtId="0" fontId="9" fillId="16" borderId="1" xfId="0" applyFont="1" applyFill="1" applyBorder="1" applyProtection="1">
      <protection locked="0"/>
    </xf>
    <xf numFmtId="9" fontId="9" fillId="16" borderId="8" xfId="1" applyFont="1" applyFill="1" applyBorder="1" applyAlignment="1" applyProtection="1">
      <alignment horizontal="center" vertical="center"/>
      <protection locked="0"/>
    </xf>
    <xf numFmtId="1" fontId="9" fillId="11" borderId="1" xfId="0" applyNumberFormat="1" applyFont="1" applyFill="1" applyBorder="1" applyAlignment="1" applyProtection="1">
      <alignment horizontal="center" vertical="center"/>
      <protection locked="0"/>
    </xf>
    <xf numFmtId="2" fontId="9" fillId="8" borderId="5" xfId="0" applyNumberFormat="1" applyFont="1" applyFill="1" applyBorder="1" applyAlignment="1" applyProtection="1">
      <alignment horizontal="center" vertical="center"/>
      <protection locked="0"/>
    </xf>
    <xf numFmtId="0" fontId="9" fillId="8" borderId="1" xfId="0" applyNumberFormat="1" applyFont="1" applyFill="1" applyBorder="1" applyAlignment="1" applyProtection="1">
      <alignment horizontal="center" vertical="center"/>
      <protection locked="0"/>
    </xf>
    <xf numFmtId="0" fontId="2" fillId="8" borderId="1" xfId="0" applyFont="1" applyFill="1" applyBorder="1" applyProtection="1">
      <protection locked="0"/>
    </xf>
    <xf numFmtId="0" fontId="2" fillId="8" borderId="5" xfId="0" applyFont="1" applyFill="1" applyBorder="1" applyProtection="1">
      <protection locked="0"/>
    </xf>
    <xf numFmtId="0" fontId="2" fillId="8" borderId="10" xfId="0" applyFont="1" applyFill="1" applyBorder="1" applyProtection="1">
      <protection locked="0"/>
    </xf>
    <xf numFmtId="0" fontId="9" fillId="14" borderId="1" xfId="0" applyNumberFormat="1" applyFont="1" applyFill="1" applyBorder="1" applyAlignment="1" applyProtection="1">
      <alignment horizontal="center" vertical="center"/>
      <protection locked="0"/>
    </xf>
    <xf numFmtId="0" fontId="2" fillId="8" borderId="23" xfId="0" applyFont="1" applyFill="1" applyBorder="1" applyProtection="1">
      <protection locked="0"/>
    </xf>
    <xf numFmtId="0" fontId="9" fillId="8" borderId="23" xfId="0" applyFont="1" applyFill="1" applyBorder="1" applyAlignment="1" applyProtection="1">
      <alignment horizontal="center" vertical="center"/>
      <protection locked="0"/>
    </xf>
    <xf numFmtId="0" fontId="9" fillId="8" borderId="23" xfId="0" applyFont="1" applyFill="1" applyBorder="1" applyAlignment="1" applyProtection="1">
      <alignment horizontal="left" vertical="center"/>
      <protection locked="0"/>
    </xf>
    <xf numFmtId="9" fontId="9" fillId="8" borderId="25" xfId="1" applyFont="1" applyFill="1" applyBorder="1" applyAlignment="1" applyProtection="1">
      <alignment horizontal="center" vertical="center"/>
      <protection locked="0"/>
    </xf>
    <xf numFmtId="0" fontId="2" fillId="14" borderId="1" xfId="0" applyFont="1" applyFill="1" applyBorder="1" applyProtection="1">
      <protection locked="0"/>
    </xf>
    <xf numFmtId="0" fontId="2" fillId="14" borderId="23" xfId="0" applyFont="1" applyFill="1" applyBorder="1" applyProtection="1">
      <protection locked="0"/>
    </xf>
    <xf numFmtId="0" fontId="9" fillId="14" borderId="23" xfId="0" applyFont="1" applyFill="1" applyBorder="1" applyAlignment="1" applyProtection="1">
      <alignment horizontal="center" vertical="center"/>
      <protection locked="0"/>
    </xf>
    <xf numFmtId="0" fontId="9" fillId="14" borderId="23" xfId="0" applyFont="1" applyFill="1" applyBorder="1" applyAlignment="1" applyProtection="1">
      <alignment horizontal="left" vertical="center"/>
      <protection locked="0"/>
    </xf>
    <xf numFmtId="2" fontId="9" fillId="14" borderId="23" xfId="0" applyNumberFormat="1" applyFont="1" applyFill="1" applyBorder="1" applyAlignment="1" applyProtection="1">
      <alignment horizontal="center" vertical="center"/>
      <protection locked="0"/>
    </xf>
    <xf numFmtId="9" fontId="9" fillId="14" borderId="25" xfId="1" applyFont="1" applyFill="1" applyBorder="1" applyAlignment="1" applyProtection="1">
      <alignment horizontal="center" vertical="center"/>
      <protection locked="0"/>
    </xf>
    <xf numFmtId="0" fontId="2" fillId="6" borderId="1" xfId="0" applyFont="1" applyFill="1" applyBorder="1" applyAlignment="1">
      <alignment horizontal="center" vertical="center"/>
    </xf>
    <xf numFmtId="0" fontId="2" fillId="6" borderId="1" xfId="0" applyFont="1" applyFill="1" applyBorder="1" applyAlignment="1">
      <alignment horizontal="left" vertical="center"/>
    </xf>
    <xf numFmtId="0" fontId="2" fillId="7" borderId="1" xfId="0" applyFont="1" applyFill="1" applyBorder="1" applyAlignment="1">
      <alignment horizontal="center" vertical="center"/>
    </xf>
    <xf numFmtId="0" fontId="2" fillId="7" borderId="1" xfId="0" applyFont="1" applyFill="1" applyBorder="1" applyAlignment="1">
      <alignment horizontal="left" vertical="center"/>
    </xf>
    <xf numFmtId="0" fontId="2" fillId="7" borderId="5" xfId="0" applyFont="1" applyFill="1" applyBorder="1" applyAlignment="1">
      <alignment horizontal="center" vertical="center"/>
    </xf>
    <xf numFmtId="0" fontId="2" fillId="7" borderId="5" xfId="0" applyFont="1" applyFill="1" applyBorder="1" applyAlignment="1">
      <alignment horizontal="left" vertical="center"/>
    </xf>
    <xf numFmtId="9" fontId="2" fillId="7" borderId="8" xfId="1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center" vertical="center"/>
    </xf>
    <xf numFmtId="0" fontId="2" fillId="7" borderId="23" xfId="0" applyFont="1" applyFill="1" applyBorder="1" applyAlignment="1">
      <alignment horizontal="left" vertical="center"/>
    </xf>
    <xf numFmtId="9" fontId="2" fillId="7" borderId="25" xfId="1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center" vertical="center"/>
    </xf>
    <xf numFmtId="0" fontId="2" fillId="6" borderId="5" xfId="0" applyFont="1" applyFill="1" applyBorder="1" applyAlignment="1">
      <alignment horizontal="left" vertical="center"/>
    </xf>
    <xf numFmtId="0" fontId="2" fillId="6" borderId="6" xfId="0" applyFont="1" applyFill="1" applyBorder="1" applyAlignment="1">
      <alignment horizontal="center" vertical="center"/>
    </xf>
    <xf numFmtId="0" fontId="2" fillId="6" borderId="8" xfId="0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 vertical="center"/>
    </xf>
    <xf numFmtId="2" fontId="2" fillId="7" borderId="23" xfId="0" applyNumberFormat="1" applyFont="1" applyFill="1" applyBorder="1" applyAlignment="1">
      <alignment horizontal="center" vertical="center"/>
    </xf>
    <xf numFmtId="0" fontId="2" fillId="7" borderId="6" xfId="0" applyFont="1" applyFill="1" applyBorder="1" applyAlignment="1">
      <alignment horizontal="center" vertical="center"/>
    </xf>
    <xf numFmtId="0" fontId="9" fillId="16" borderId="23" xfId="0" applyFont="1" applyFill="1" applyBorder="1" applyProtection="1">
      <protection locked="0"/>
    </xf>
    <xf numFmtId="0" fontId="9" fillId="16" borderId="23" xfId="0" applyFont="1" applyFill="1" applyBorder="1" applyAlignment="1" applyProtection="1">
      <alignment horizontal="center" vertical="center"/>
      <protection locked="0"/>
    </xf>
    <xf numFmtId="0" fontId="9" fillId="16" borderId="23" xfId="0" applyFont="1" applyFill="1" applyBorder="1" applyAlignment="1" applyProtection="1">
      <alignment horizontal="left" vertical="center"/>
      <protection locked="0"/>
    </xf>
    <xf numFmtId="2" fontId="9" fillId="16" borderId="23" xfId="0" applyNumberFormat="1" applyFont="1" applyFill="1" applyBorder="1" applyAlignment="1" applyProtection="1">
      <alignment horizontal="center" vertical="center"/>
      <protection locked="0"/>
    </xf>
    <xf numFmtId="9" fontId="9" fillId="16" borderId="25" xfId="1" applyFont="1" applyFill="1" applyBorder="1" applyAlignment="1" applyProtection="1">
      <alignment horizontal="center" vertical="center"/>
      <protection locked="0"/>
    </xf>
    <xf numFmtId="0" fontId="2" fillId="7" borderId="25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center" vertical="center"/>
    </xf>
    <xf numFmtId="9" fontId="2" fillId="13" borderId="6" xfId="1" applyFont="1" applyFill="1" applyBorder="1" applyAlignment="1">
      <alignment horizontal="center" vertical="center"/>
    </xf>
    <xf numFmtId="0" fontId="2" fillId="13" borderId="1" xfId="0" applyFont="1" applyFill="1" applyBorder="1" applyAlignment="1">
      <alignment horizontal="center" vertical="center"/>
    </xf>
    <xf numFmtId="2" fontId="2" fillId="13" borderId="1" xfId="0" applyNumberFormat="1" applyFont="1" applyFill="1" applyBorder="1" applyAlignment="1">
      <alignment horizontal="center" vertical="center"/>
    </xf>
    <xf numFmtId="9" fontId="2" fillId="13" borderId="8" xfId="1" applyFont="1" applyFill="1" applyBorder="1" applyAlignment="1">
      <alignment horizontal="center" vertical="center"/>
    </xf>
    <xf numFmtId="0" fontId="2" fillId="13" borderId="8" xfId="0" applyFont="1" applyFill="1" applyBorder="1" applyAlignment="1">
      <alignment horizontal="center" vertical="center"/>
    </xf>
    <xf numFmtId="0" fontId="2" fillId="13" borderId="5" xfId="0" applyFont="1" applyFill="1" applyBorder="1" applyAlignment="1">
      <alignment horizontal="left" vertical="center"/>
    </xf>
    <xf numFmtId="0" fontId="2" fillId="13" borderId="1" xfId="0" applyFont="1" applyFill="1" applyBorder="1" applyAlignment="1">
      <alignment horizontal="left" vertical="center"/>
    </xf>
    <xf numFmtId="0" fontId="2" fillId="13" borderId="23" xfId="0" applyFont="1" applyFill="1" applyBorder="1" applyAlignment="1">
      <alignment horizontal="center" vertical="center"/>
    </xf>
    <xf numFmtId="0" fontId="2" fillId="13" borderId="23" xfId="0" applyFont="1" applyFill="1" applyBorder="1" applyAlignment="1">
      <alignment horizontal="left" vertical="center"/>
    </xf>
    <xf numFmtId="0" fontId="2" fillId="13" borderId="25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center" vertical="center"/>
    </xf>
    <xf numFmtId="0" fontId="2" fillId="17" borderId="6" xfId="0" applyFont="1" applyFill="1" applyBorder="1" applyAlignment="1">
      <alignment horizontal="center" vertical="center"/>
    </xf>
    <xf numFmtId="0" fontId="2" fillId="17" borderId="1" xfId="0" applyFont="1" applyFill="1" applyBorder="1" applyAlignment="1">
      <alignment horizontal="center" vertical="center"/>
    </xf>
    <xf numFmtId="0" fontId="2" fillId="17" borderId="8" xfId="0" applyFont="1" applyFill="1" applyBorder="1" applyAlignment="1">
      <alignment horizontal="center" vertical="center"/>
    </xf>
    <xf numFmtId="0" fontId="2" fillId="17" borderId="5" xfId="0" applyFont="1" applyFill="1" applyBorder="1" applyAlignment="1">
      <alignment horizontal="left" vertical="center"/>
    </xf>
    <xf numFmtId="0" fontId="2" fillId="17" borderId="1" xfId="0" applyFont="1" applyFill="1" applyBorder="1" applyAlignment="1">
      <alignment horizontal="left" vertical="center"/>
    </xf>
    <xf numFmtId="0" fontId="2" fillId="17" borderId="5" xfId="0" quotePrefix="1" applyFont="1" applyFill="1" applyBorder="1" applyAlignment="1">
      <alignment horizontal="left" vertical="center"/>
    </xf>
    <xf numFmtId="0" fontId="2" fillId="17" borderId="23" xfId="0" applyFont="1" applyFill="1" applyBorder="1" applyAlignment="1">
      <alignment horizontal="center" vertical="center"/>
    </xf>
    <xf numFmtId="0" fontId="2" fillId="17" borderId="23" xfId="0" applyFont="1" applyFill="1" applyBorder="1" applyAlignment="1">
      <alignment horizontal="left" vertical="center"/>
    </xf>
    <xf numFmtId="0" fontId="2" fillId="17" borderId="25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center" vertical="center"/>
    </xf>
    <xf numFmtId="2" fontId="2" fillId="18" borderId="5" xfId="0" applyNumberFormat="1" applyFont="1" applyFill="1" applyBorder="1" applyAlignment="1">
      <alignment horizontal="center" vertical="center"/>
    </xf>
    <xf numFmtId="9" fontId="2" fillId="18" borderId="6" xfId="1" applyFont="1" applyFill="1" applyBorder="1" applyAlignment="1">
      <alignment horizontal="center" vertical="center"/>
    </xf>
    <xf numFmtId="0" fontId="2" fillId="18" borderId="1" xfId="0" applyFont="1" applyFill="1" applyBorder="1" applyAlignment="1">
      <alignment horizontal="center" vertical="center"/>
    </xf>
    <xf numFmtId="2" fontId="2" fillId="18" borderId="1" xfId="0" applyNumberFormat="1" applyFont="1" applyFill="1" applyBorder="1" applyAlignment="1">
      <alignment horizontal="center" vertical="center"/>
    </xf>
    <xf numFmtId="9" fontId="2" fillId="18" borderId="8" xfId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center" vertical="center"/>
    </xf>
    <xf numFmtId="9" fontId="2" fillId="3" borderId="6" xfId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9" fontId="2" fillId="3" borderId="8" xfId="1" applyFont="1" applyFill="1" applyBorder="1" applyAlignment="1">
      <alignment horizontal="center" vertical="center"/>
    </xf>
    <xf numFmtId="0" fontId="2" fillId="3" borderId="5" xfId="0" applyFont="1" applyFill="1" applyBorder="1" applyAlignment="1">
      <alignment horizontal="left" vertical="center"/>
    </xf>
    <xf numFmtId="0" fontId="2" fillId="3" borderId="1" xfId="0" applyFont="1" applyFill="1" applyBorder="1" applyAlignment="1">
      <alignment horizontal="left" vertical="center"/>
    </xf>
    <xf numFmtId="0" fontId="2" fillId="3" borderId="23" xfId="0" applyFont="1" applyFill="1" applyBorder="1" applyAlignment="1">
      <alignment horizontal="center" vertical="center"/>
    </xf>
    <xf numFmtId="0" fontId="2" fillId="18" borderId="5" xfId="0" applyFont="1" applyFill="1" applyBorder="1" applyAlignment="1">
      <alignment horizontal="left" vertical="center"/>
    </xf>
    <xf numFmtId="0" fontId="2" fillId="18" borderId="1" xfId="0" applyFont="1" applyFill="1" applyBorder="1" applyAlignment="1">
      <alignment horizontal="left" vertical="center"/>
    </xf>
    <xf numFmtId="0" fontId="2" fillId="18" borderId="23" xfId="0" applyFont="1" applyFill="1" applyBorder="1" applyAlignment="1">
      <alignment horizontal="center" vertical="center"/>
    </xf>
    <xf numFmtId="9" fontId="2" fillId="3" borderId="25" xfId="1" applyFont="1" applyFill="1" applyBorder="1" applyAlignment="1">
      <alignment horizontal="center" vertical="center"/>
    </xf>
    <xf numFmtId="0" fontId="2" fillId="3" borderId="23" xfId="0" applyFont="1" applyFill="1" applyBorder="1" applyAlignment="1">
      <alignment horizontal="left" vertical="center"/>
    </xf>
    <xf numFmtId="0" fontId="2" fillId="18" borderId="23" xfId="0" applyFont="1" applyFill="1" applyBorder="1" applyAlignment="1">
      <alignment horizontal="left" vertical="center"/>
    </xf>
    <xf numFmtId="2" fontId="2" fillId="18" borderId="23" xfId="0" applyNumberFormat="1" applyFont="1" applyFill="1" applyBorder="1" applyAlignment="1">
      <alignment horizontal="center" vertical="center"/>
    </xf>
    <xf numFmtId="9" fontId="2" fillId="18" borderId="25" xfId="1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center" vertical="center"/>
    </xf>
    <xf numFmtId="0" fontId="2" fillId="4" borderId="5" xfId="0" applyFont="1" applyFill="1" applyBorder="1" applyAlignment="1">
      <alignment horizontal="left" vertical="center"/>
    </xf>
    <xf numFmtId="9" fontId="2" fillId="4" borderId="6" xfId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left" vertical="center"/>
    </xf>
    <xf numFmtId="9" fontId="2" fillId="4" borderId="8" xfId="1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center" vertical="center"/>
    </xf>
    <xf numFmtId="0" fontId="2" fillId="4" borderId="10" xfId="0" applyFont="1" applyFill="1" applyBorder="1" applyAlignment="1">
      <alignment horizontal="left" vertical="center"/>
    </xf>
    <xf numFmtId="9" fontId="2" fillId="4" borderId="15" xfId="1" applyFont="1" applyFill="1" applyBorder="1" applyAlignment="1">
      <alignment horizontal="center" vertical="center"/>
    </xf>
    <xf numFmtId="0" fontId="2" fillId="19" borderId="5" xfId="0" applyFont="1" applyFill="1" applyBorder="1" applyAlignment="1">
      <alignment horizontal="center" vertical="center"/>
    </xf>
    <xf numFmtId="9" fontId="2" fillId="19" borderId="6" xfId="1" applyFont="1" applyFill="1" applyBorder="1" applyAlignment="1">
      <alignment horizontal="center" vertical="center"/>
    </xf>
    <xf numFmtId="0" fontId="2" fillId="19" borderId="1" xfId="0" applyFont="1" applyFill="1" applyBorder="1" applyAlignment="1">
      <alignment horizontal="center" vertical="center"/>
    </xf>
    <xf numFmtId="9" fontId="2" fillId="19" borderId="8" xfId="1" applyFont="1" applyFill="1" applyBorder="1" applyAlignment="1">
      <alignment horizontal="center" vertical="center"/>
    </xf>
    <xf numFmtId="0" fontId="2" fillId="19" borderId="5" xfId="0" applyFont="1" applyFill="1" applyBorder="1" applyAlignment="1">
      <alignment horizontal="left" vertical="center"/>
    </xf>
    <xf numFmtId="0" fontId="2" fillId="19" borderId="1" xfId="0" applyFont="1" applyFill="1" applyBorder="1" applyAlignment="1">
      <alignment horizontal="left" vertical="center"/>
    </xf>
    <xf numFmtId="0" fontId="2" fillId="19" borderId="23" xfId="0" applyFont="1" applyFill="1" applyBorder="1" applyAlignment="1">
      <alignment horizontal="center" vertical="center"/>
    </xf>
    <xf numFmtId="0" fontId="2" fillId="19" borderId="23" xfId="0" applyFont="1" applyFill="1" applyBorder="1" applyAlignment="1">
      <alignment horizontal="left" vertical="center"/>
    </xf>
    <xf numFmtId="9" fontId="2" fillId="19" borderId="25" xfId="1" applyFont="1" applyFill="1" applyBorder="1" applyAlignment="1">
      <alignment horizontal="center" vertical="center"/>
    </xf>
    <xf numFmtId="0" fontId="9" fillId="0" borderId="0" xfId="0" applyFont="1" applyFill="1" applyBorder="1" applyAlignment="1" applyProtection="1">
      <alignment horizontal="center" vertical="center"/>
      <protection locked="0"/>
    </xf>
    <xf numFmtId="2" fontId="2" fillId="0" borderId="0" xfId="0" applyNumberFormat="1" applyFont="1" applyFill="1" applyBorder="1" applyAlignment="1" applyProtection="1">
      <alignment horizontal="center" vertical="center"/>
      <protection locked="0"/>
    </xf>
    <xf numFmtId="0" fontId="2" fillId="0" borderId="0" xfId="0" applyFont="1" applyFill="1" applyBorder="1" applyAlignment="1" applyProtection="1">
      <alignment horizontal="center" vertical="center"/>
      <protection locked="0"/>
    </xf>
    <xf numFmtId="0" fontId="2" fillId="5" borderId="5" xfId="0" applyFont="1" applyFill="1" applyBorder="1" applyProtection="1">
      <protection locked="0"/>
    </xf>
    <xf numFmtId="0" fontId="9" fillId="5" borderId="5" xfId="0" applyFont="1" applyFill="1" applyBorder="1" applyAlignment="1" applyProtection="1">
      <alignment horizontal="center" vertical="center"/>
      <protection locked="0"/>
    </xf>
    <xf numFmtId="0" fontId="9" fillId="5" borderId="5" xfId="0" applyFont="1" applyFill="1" applyBorder="1" applyAlignment="1" applyProtection="1">
      <alignment horizontal="left" vertical="center"/>
      <protection locked="0"/>
    </xf>
    <xf numFmtId="9" fontId="9" fillId="5" borderId="6" xfId="1" applyFont="1" applyFill="1" applyBorder="1" applyAlignment="1" applyProtection="1">
      <alignment horizontal="center" vertical="center"/>
      <protection locked="0"/>
    </xf>
    <xf numFmtId="0" fontId="9" fillId="5" borderId="1" xfId="0" applyFont="1" applyFill="1" applyBorder="1" applyAlignment="1" applyProtection="1">
      <alignment horizontal="center" vertical="center"/>
      <protection locked="0"/>
    </xf>
    <xf numFmtId="0" fontId="9" fillId="5" borderId="1" xfId="0" applyFont="1" applyFill="1" applyBorder="1" applyAlignment="1" applyProtection="1">
      <alignment horizontal="left" vertical="center"/>
      <protection locked="0"/>
    </xf>
    <xf numFmtId="9" fontId="9" fillId="5" borderId="8" xfId="1" applyFont="1" applyFill="1" applyBorder="1" applyAlignment="1" applyProtection="1">
      <alignment horizontal="center" vertical="center"/>
      <protection locked="0"/>
    </xf>
    <xf numFmtId="0" fontId="9" fillId="2" borderId="27" xfId="0" applyFont="1" applyFill="1" applyBorder="1" applyAlignment="1" applyProtection="1">
      <alignment horizontal="center" vertical="center"/>
      <protection locked="0"/>
    </xf>
    <xf numFmtId="0" fontId="9" fillId="2" borderId="27" xfId="0" applyFont="1" applyFill="1" applyBorder="1" applyAlignment="1" applyProtection="1">
      <alignment horizontal="left" vertical="center"/>
      <protection locked="0"/>
    </xf>
    <xf numFmtId="0" fontId="9" fillId="2" borderId="27" xfId="0" applyFont="1" applyFill="1" applyBorder="1" applyAlignment="1" applyProtection="1">
      <alignment vertical="center"/>
      <protection locked="0"/>
    </xf>
    <xf numFmtId="9" fontId="9" fillId="2" borderId="28" xfId="1" applyFont="1" applyFill="1" applyBorder="1" applyAlignment="1" applyProtection="1">
      <alignment horizontal="center" vertical="center"/>
      <protection locked="0"/>
    </xf>
    <xf numFmtId="0" fontId="9" fillId="15" borderId="10" xfId="0" applyFont="1" applyFill="1" applyBorder="1" applyAlignment="1" applyProtection="1">
      <alignment vertical="center"/>
      <protection locked="0"/>
    </xf>
    <xf numFmtId="0" fontId="2" fillId="14" borderId="27" xfId="0" applyFont="1" applyFill="1" applyBorder="1" applyProtection="1">
      <protection locked="0"/>
    </xf>
    <xf numFmtId="0" fontId="9" fillId="14" borderId="27" xfId="0" applyFont="1" applyFill="1" applyBorder="1" applyAlignment="1" applyProtection="1">
      <alignment horizontal="center" vertical="center"/>
      <protection locked="0"/>
    </xf>
    <xf numFmtId="0" fontId="9" fillId="14" borderId="27" xfId="0" applyFont="1" applyFill="1" applyBorder="1" applyAlignment="1" applyProtection="1">
      <alignment horizontal="left" vertical="center"/>
      <protection locked="0"/>
    </xf>
    <xf numFmtId="9" fontId="9" fillId="14" borderId="28" xfId="1" applyFont="1" applyFill="1" applyBorder="1" applyAlignment="1" applyProtection="1">
      <alignment horizontal="center" vertical="center"/>
      <protection locked="0"/>
    </xf>
    <xf numFmtId="0" fontId="2" fillId="14" borderId="5" xfId="0" applyFont="1" applyFill="1" applyBorder="1" applyProtection="1">
      <protection locked="0"/>
    </xf>
    <xf numFmtId="0" fontId="9" fillId="14" borderId="5" xfId="0" applyFont="1" applyFill="1" applyBorder="1" applyAlignment="1" applyProtection="1">
      <alignment horizontal="center" vertical="center"/>
      <protection locked="0"/>
    </xf>
    <xf numFmtId="0" fontId="9" fillId="14" borderId="5" xfId="0" applyFont="1" applyFill="1" applyBorder="1" applyAlignment="1" applyProtection="1">
      <alignment horizontal="left" vertical="center"/>
      <protection locked="0"/>
    </xf>
    <xf numFmtId="9" fontId="9" fillId="14" borderId="6" xfId="1" applyFont="1" applyFill="1" applyBorder="1" applyAlignment="1" applyProtection="1">
      <alignment horizontal="center" vertical="center"/>
      <protection locked="0"/>
    </xf>
    <xf numFmtId="2" fontId="9" fillId="14" borderId="5" xfId="0" applyNumberFormat="1" applyFont="1" applyFill="1" applyBorder="1" applyAlignment="1" applyProtection="1">
      <alignment horizontal="center" vertical="center"/>
      <protection locked="0"/>
    </xf>
    <xf numFmtId="0" fontId="9" fillId="3" borderId="1" xfId="0" applyFont="1" applyFill="1" applyBorder="1" applyAlignment="1" applyProtection="1">
      <alignment horizontal="center" vertical="center"/>
      <protection locked="0"/>
    </xf>
    <xf numFmtId="0" fontId="9" fillId="13" borderId="1" xfId="0" applyFont="1" applyFill="1" applyBorder="1" applyAlignment="1">
      <alignment horizontal="center" vertical="center"/>
    </xf>
    <xf numFmtId="0" fontId="9" fillId="3" borderId="1" xfId="0" applyFont="1" applyFill="1" applyBorder="1" applyAlignment="1">
      <alignment horizontal="center" vertical="center"/>
    </xf>
    <xf numFmtId="0" fontId="9" fillId="3" borderId="23" xfId="0" applyFont="1" applyFill="1" applyBorder="1" applyAlignment="1">
      <alignment horizontal="center" vertical="center"/>
    </xf>
    <xf numFmtId="0" fontId="9" fillId="15" borderId="4" xfId="0" applyFont="1" applyFill="1" applyBorder="1" applyAlignment="1" applyProtection="1">
      <alignment horizontal="center" vertical="center"/>
      <protection locked="0"/>
    </xf>
    <xf numFmtId="0" fontId="9" fillId="15" borderId="7" xfId="0" applyFont="1" applyFill="1" applyBorder="1" applyAlignment="1" applyProtection="1">
      <alignment horizontal="center" vertical="center"/>
      <protection locked="0"/>
    </xf>
    <xf numFmtId="0" fontId="9" fillId="11" borderId="4" xfId="0" applyFont="1" applyFill="1" applyBorder="1" applyAlignment="1" applyProtection="1">
      <alignment horizontal="center" vertical="center"/>
      <protection locked="0"/>
    </xf>
    <xf numFmtId="0" fontId="9" fillId="11" borderId="5" xfId="0" applyFont="1" applyFill="1" applyBorder="1" applyAlignment="1" applyProtection="1">
      <alignment vertical="center"/>
      <protection locked="0"/>
    </xf>
    <xf numFmtId="0" fontId="9" fillId="11" borderId="7" xfId="0" applyFont="1" applyFill="1" applyBorder="1" applyAlignment="1" applyProtection="1">
      <alignment horizontal="center" vertical="center"/>
      <protection locked="0"/>
    </xf>
    <xf numFmtId="0" fontId="9" fillId="11" borderId="1" xfId="0" applyFont="1" applyFill="1" applyBorder="1" applyAlignment="1" applyProtection="1">
      <alignment vertical="center"/>
      <protection locked="0"/>
    </xf>
    <xf numFmtId="0" fontId="9" fillId="11" borderId="9" xfId="0" applyFont="1" applyFill="1" applyBorder="1" applyAlignment="1" applyProtection="1">
      <alignment horizontal="center" vertical="center"/>
      <protection locked="0"/>
    </xf>
    <xf numFmtId="0" fontId="4" fillId="5" borderId="18" xfId="0" applyFont="1" applyFill="1" applyBorder="1" applyAlignment="1" applyProtection="1">
      <alignment horizontal="center" vertical="center"/>
      <protection locked="0"/>
    </xf>
    <xf numFmtId="0" fontId="4" fillId="5" borderId="19" xfId="0" applyFont="1" applyFill="1" applyBorder="1" applyAlignment="1" applyProtection="1">
      <alignment horizontal="center" vertical="center"/>
      <protection locked="0"/>
    </xf>
    <xf numFmtId="0" fontId="9" fillId="2" borderId="14" xfId="0" applyFont="1" applyFill="1" applyBorder="1" applyAlignment="1" applyProtection="1">
      <alignment horizontal="center" vertical="center"/>
      <protection locked="0"/>
    </xf>
    <xf numFmtId="0" fontId="4" fillId="5" borderId="19" xfId="0" applyFont="1" applyFill="1" applyBorder="1" applyAlignment="1" applyProtection="1">
      <alignment horizontal="left" vertical="center"/>
      <protection locked="0"/>
    </xf>
    <xf numFmtId="0" fontId="4" fillId="5" borderId="16" xfId="0" applyFont="1" applyFill="1" applyBorder="1" applyAlignment="1" applyProtection="1">
      <alignment horizontal="center" vertical="center"/>
      <protection locked="0"/>
    </xf>
    <xf numFmtId="0" fontId="9" fillId="2" borderId="14" xfId="0" applyFont="1" applyFill="1" applyBorder="1" applyAlignment="1" applyProtection="1">
      <alignment horizontal="left" vertical="center"/>
      <protection locked="0"/>
    </xf>
    <xf numFmtId="0" fontId="9" fillId="2" borderId="14" xfId="0" applyNumberFormat="1" applyFont="1" applyFill="1" applyBorder="1" applyAlignment="1" applyProtection="1">
      <alignment horizontal="center" vertical="center"/>
      <protection locked="0"/>
    </xf>
    <xf numFmtId="0" fontId="9" fillId="15" borderId="22" xfId="0" applyFont="1" applyFill="1" applyBorder="1" applyAlignment="1" applyProtection="1">
      <alignment horizontal="center" vertical="center"/>
      <protection locked="0"/>
    </xf>
    <xf numFmtId="0" fontId="9" fillId="15" borderId="23" xfId="0" applyFont="1" applyFill="1" applyBorder="1" applyAlignment="1" applyProtection="1">
      <alignment horizontal="center" vertical="center"/>
      <protection locked="0"/>
    </xf>
    <xf numFmtId="0" fontId="9" fillId="15" borderId="23" xfId="0" applyFont="1" applyFill="1" applyBorder="1" applyAlignment="1" applyProtection="1">
      <alignment horizontal="left" vertical="center"/>
      <protection locked="0"/>
    </xf>
    <xf numFmtId="9" fontId="9" fillId="15" borderId="25" xfId="1" applyFont="1" applyFill="1" applyBorder="1" applyAlignment="1" applyProtection="1">
      <alignment horizontal="center" vertical="center"/>
      <protection locked="0"/>
    </xf>
    <xf numFmtId="0" fontId="9" fillId="2" borderId="23" xfId="0" applyFont="1" applyFill="1" applyBorder="1" applyAlignment="1" applyProtection="1">
      <alignment horizontal="center" vertical="center"/>
      <protection locked="0"/>
    </xf>
    <xf numFmtId="0" fontId="9" fillId="2" borderId="23" xfId="0" applyFont="1" applyFill="1" applyBorder="1" applyAlignment="1" applyProtection="1">
      <alignment horizontal="left" vertical="center"/>
      <protection locked="0"/>
    </xf>
    <xf numFmtId="2" fontId="9" fillId="2" borderId="23" xfId="0" applyNumberFormat="1" applyFont="1" applyFill="1" applyBorder="1" applyAlignment="1" applyProtection="1">
      <alignment horizontal="center" vertical="center"/>
      <protection locked="0"/>
    </xf>
    <xf numFmtId="1" fontId="9" fillId="15" borderId="23" xfId="0" applyNumberFormat="1" applyFont="1" applyFill="1" applyBorder="1" applyAlignment="1" applyProtection="1">
      <alignment horizontal="center" vertical="center"/>
      <protection locked="0"/>
    </xf>
    <xf numFmtId="0" fontId="9" fillId="2" borderId="23" xfId="0" applyNumberFormat="1" applyFont="1" applyFill="1" applyBorder="1" applyAlignment="1" applyProtection="1">
      <alignment horizontal="center" vertical="center"/>
      <protection locked="0"/>
    </xf>
    <xf numFmtId="9" fontId="9" fillId="2" borderId="25" xfId="1" applyFont="1" applyFill="1" applyBorder="1" applyAlignment="1" applyProtection="1">
      <alignment horizontal="center" vertical="center"/>
      <protection locked="0"/>
    </xf>
    <xf numFmtId="0" fontId="9" fillId="15" borderId="23" xfId="0" applyFont="1" applyFill="1" applyBorder="1" applyAlignment="1" applyProtection="1">
      <alignment vertical="center"/>
      <protection locked="0"/>
    </xf>
    <xf numFmtId="0" fontId="9" fillId="11" borderId="23" xfId="0" applyFont="1" applyFill="1" applyBorder="1" applyProtection="1">
      <protection locked="0"/>
    </xf>
    <xf numFmtId="0" fontId="9" fillId="11" borderId="23" xfId="0" applyFont="1" applyFill="1" applyBorder="1" applyAlignment="1" applyProtection="1">
      <alignment horizontal="center" vertical="center"/>
      <protection locked="0"/>
    </xf>
    <xf numFmtId="0" fontId="9" fillId="11" borderId="23" xfId="0" applyFont="1" applyFill="1" applyBorder="1" applyAlignment="1" applyProtection="1">
      <alignment horizontal="left" vertical="center"/>
      <protection locked="0"/>
    </xf>
    <xf numFmtId="0" fontId="9" fillId="11" borderId="23" xfId="0" applyNumberFormat="1" applyFont="1" applyFill="1" applyBorder="1" applyAlignment="1" applyProtection="1">
      <alignment horizontal="center" vertical="center"/>
      <protection locked="0"/>
    </xf>
    <xf numFmtId="9" fontId="9" fillId="11" borderId="25" xfId="1" applyFont="1" applyFill="1" applyBorder="1" applyAlignment="1" applyProtection="1">
      <alignment horizontal="center" vertical="center"/>
      <protection locked="0"/>
    </xf>
    <xf numFmtId="0" fontId="9" fillId="14" borderId="5" xfId="0" applyNumberFormat="1" applyFont="1" applyFill="1" applyBorder="1" applyAlignment="1" applyProtection="1">
      <alignment horizontal="center" vertical="center"/>
      <protection locked="0"/>
    </xf>
    <xf numFmtId="0" fontId="2" fillId="5" borderId="1" xfId="0" applyFont="1" applyFill="1" applyBorder="1" applyProtection="1">
      <protection locked="0"/>
    </xf>
    <xf numFmtId="0" fontId="2" fillId="5" borderId="23" xfId="0" applyFont="1" applyFill="1" applyBorder="1" applyProtection="1">
      <protection locked="0"/>
    </xf>
    <xf numFmtId="0" fontId="9" fillId="5" borderId="23" xfId="0" applyFont="1" applyFill="1" applyBorder="1" applyAlignment="1" applyProtection="1">
      <alignment horizontal="center" vertical="center"/>
      <protection locked="0"/>
    </xf>
    <xf numFmtId="0" fontId="9" fillId="5" borderId="23" xfId="0" applyFont="1" applyFill="1" applyBorder="1" applyAlignment="1" applyProtection="1">
      <alignment horizontal="left" vertical="center"/>
      <protection locked="0"/>
    </xf>
    <xf numFmtId="9" fontId="9" fillId="5" borderId="25" xfId="1" applyFont="1" applyFill="1" applyBorder="1" applyAlignment="1" applyProtection="1">
      <alignment horizontal="center" vertical="center"/>
      <protection locked="0"/>
    </xf>
    <xf numFmtId="2" fontId="2" fillId="7" borderId="5" xfId="0" applyNumberFormat="1" applyFont="1" applyFill="1" applyBorder="1" applyAlignment="1">
      <alignment horizontal="center" vertical="center"/>
    </xf>
    <xf numFmtId="9" fontId="2" fillId="7" borderId="6" xfId="1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center" vertical="center"/>
    </xf>
    <xf numFmtId="0" fontId="2" fillId="6" borderId="23" xfId="0" applyFont="1" applyFill="1" applyBorder="1" applyAlignment="1">
      <alignment horizontal="left" vertical="center"/>
    </xf>
    <xf numFmtId="0" fontId="2" fillId="6" borderId="25" xfId="0" applyFont="1" applyFill="1" applyBorder="1" applyAlignment="1">
      <alignment horizontal="center" vertical="center"/>
    </xf>
    <xf numFmtId="0" fontId="9" fillId="3" borderId="5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center" vertical="center"/>
    </xf>
    <xf numFmtId="0" fontId="2" fillId="4" borderId="23" xfId="0" applyFont="1" applyFill="1" applyBorder="1" applyAlignment="1">
      <alignment horizontal="left" vertical="center"/>
    </xf>
    <xf numFmtId="9" fontId="2" fillId="4" borderId="25" xfId="1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center" vertical="center"/>
    </xf>
    <xf numFmtId="0" fontId="2" fillId="4" borderId="27" xfId="0" applyFont="1" applyFill="1" applyBorder="1" applyAlignment="1">
      <alignment horizontal="left" vertical="center"/>
    </xf>
    <xf numFmtId="9" fontId="2" fillId="4" borderId="28" xfId="1" applyFont="1" applyFill="1" applyBorder="1" applyAlignment="1">
      <alignment horizontal="center" vertical="center"/>
    </xf>
    <xf numFmtId="0" fontId="2" fillId="19" borderId="10" xfId="0" applyFont="1" applyFill="1" applyBorder="1" applyAlignment="1">
      <alignment horizontal="center" vertical="center"/>
    </xf>
    <xf numFmtId="0" fontId="2" fillId="19" borderId="10" xfId="0" applyFont="1" applyFill="1" applyBorder="1" applyAlignment="1">
      <alignment horizontal="left" vertical="center"/>
    </xf>
    <xf numFmtId="9" fontId="2" fillId="19" borderId="15" xfId="1" applyFont="1" applyFill="1" applyBorder="1" applyAlignment="1">
      <alignment horizontal="center" vertical="center"/>
    </xf>
    <xf numFmtId="2" fontId="2" fillId="4" borderId="5" xfId="0" applyNumberFormat="1" applyFont="1" applyFill="1" applyBorder="1" applyAlignment="1">
      <alignment horizontal="center" vertical="center"/>
    </xf>
    <xf numFmtId="2" fontId="2" fillId="19" borderId="1" xfId="0" applyNumberFormat="1" applyFont="1" applyFill="1" applyBorder="1" applyAlignment="1">
      <alignment horizontal="center" vertical="center"/>
    </xf>
    <xf numFmtId="49" fontId="7" fillId="9" borderId="30" xfId="0" applyNumberFormat="1" applyFont="1" applyFill="1" applyBorder="1" applyAlignment="1">
      <alignment horizontal="center" vertical="center" readingOrder="1"/>
    </xf>
    <xf numFmtId="49" fontId="7" fillId="9" borderId="31" xfId="0" applyNumberFormat="1" applyFont="1" applyFill="1" applyBorder="1" applyAlignment="1">
      <alignment horizontal="center" vertical="center" readingOrder="1"/>
    </xf>
    <xf numFmtId="0" fontId="2" fillId="0" borderId="21" xfId="0" applyFont="1" applyBorder="1"/>
    <xf numFmtId="0" fontId="2" fillId="0" borderId="0" xfId="0" applyFont="1" applyAlignment="1">
      <alignment horizontal="center"/>
    </xf>
    <xf numFmtId="0" fontId="2" fillId="0" borderId="0" xfId="0" applyFont="1" applyAlignment="1">
      <alignment horizontal="center" vertical="center"/>
    </xf>
    <xf numFmtId="0" fontId="6" fillId="2" borderId="19" xfId="0" applyNumberFormat="1" applyFont="1" applyFill="1" applyBorder="1" applyAlignment="1">
      <alignment horizontal="center" vertical="center" readingOrder="1"/>
    </xf>
    <xf numFmtId="0" fontId="6" fillId="2" borderId="1" xfId="0" applyNumberFormat="1" applyFont="1" applyFill="1" applyBorder="1" applyAlignment="1">
      <alignment horizontal="center" vertical="center" readingOrder="1"/>
    </xf>
    <xf numFmtId="0" fontId="6" fillId="2" borderId="5" xfId="0" applyNumberFormat="1" applyFont="1" applyFill="1" applyBorder="1" applyAlignment="1">
      <alignment horizontal="center" vertical="center" readingOrder="1"/>
    </xf>
    <xf numFmtId="0" fontId="2" fillId="3" borderId="4" xfId="0" applyFont="1" applyFill="1" applyBorder="1" applyAlignment="1">
      <alignment horizontal="center" vertical="center"/>
    </xf>
    <xf numFmtId="49" fontId="6" fillId="3" borderId="5" xfId="0" applyNumberFormat="1" applyFont="1" applyFill="1" applyBorder="1" applyAlignment="1">
      <alignment horizontal="center" vertical="center" readingOrder="1"/>
    </xf>
    <xf numFmtId="0" fontId="6" fillId="3" borderId="5" xfId="0" applyFont="1" applyFill="1" applyBorder="1" applyAlignment="1">
      <alignment horizontal="center" vertical="center" readingOrder="1"/>
    </xf>
    <xf numFmtId="0" fontId="6" fillId="3" borderId="5" xfId="0" quotePrefix="1" applyFont="1" applyFill="1" applyBorder="1" applyAlignment="1">
      <alignment horizontal="center" vertical="center" readingOrder="1"/>
    </xf>
    <xf numFmtId="0" fontId="6" fillId="3" borderId="5" xfId="0" applyNumberFormat="1" applyFont="1" applyFill="1" applyBorder="1" applyAlignment="1">
      <alignment horizontal="center" vertical="center" readingOrder="1"/>
    </xf>
    <xf numFmtId="0" fontId="6" fillId="3" borderId="5" xfId="0" quotePrefix="1" applyFont="1" applyFill="1" applyBorder="1" applyAlignment="1">
      <alignment horizontal="left" vertical="center" readingOrder="1"/>
    </xf>
    <xf numFmtId="0" fontId="2" fillId="3" borderId="7" xfId="0" applyFont="1" applyFill="1" applyBorder="1" applyAlignment="1">
      <alignment horizontal="center" vertical="center"/>
    </xf>
    <xf numFmtId="49" fontId="6" fillId="3" borderId="1" xfId="0" applyNumberFormat="1" applyFont="1" applyFill="1" applyBorder="1" applyAlignment="1">
      <alignment horizontal="center" vertical="center" readingOrder="1"/>
    </xf>
    <xf numFmtId="0" fontId="6" fillId="3" borderId="1" xfId="0" applyFont="1" applyFill="1" applyBorder="1" applyAlignment="1">
      <alignment horizontal="center" vertical="center" readingOrder="1"/>
    </xf>
    <xf numFmtId="0" fontId="6" fillId="3" borderId="1" xfId="0" quotePrefix="1" applyFont="1" applyFill="1" applyBorder="1" applyAlignment="1">
      <alignment horizontal="center" vertical="center" readingOrder="1"/>
    </xf>
    <xf numFmtId="0" fontId="6" fillId="3" borderId="1" xfId="0" applyNumberFormat="1" applyFont="1" applyFill="1" applyBorder="1" applyAlignment="1">
      <alignment horizontal="center" vertical="center" readingOrder="1"/>
    </xf>
    <xf numFmtId="0" fontId="6" fillId="3" borderId="1" xfId="0" quotePrefix="1" applyFont="1" applyFill="1" applyBorder="1" applyAlignment="1">
      <alignment horizontal="left" vertical="center" readingOrder="1"/>
    </xf>
    <xf numFmtId="0" fontId="2" fillId="3" borderId="9" xfId="0" applyFont="1" applyFill="1" applyBorder="1" applyAlignment="1">
      <alignment horizontal="center" vertical="center"/>
    </xf>
    <xf numFmtId="49" fontId="6" fillId="3" borderId="10" xfId="0" applyNumberFormat="1" applyFont="1" applyFill="1" applyBorder="1" applyAlignment="1">
      <alignment horizontal="center" vertical="center" readingOrder="1"/>
    </xf>
    <xf numFmtId="0" fontId="6" fillId="3" borderId="10" xfId="0" applyFont="1" applyFill="1" applyBorder="1" applyAlignment="1">
      <alignment horizontal="center" vertical="center" readingOrder="1"/>
    </xf>
    <xf numFmtId="0" fontId="6" fillId="3" borderId="10" xfId="0" quotePrefix="1" applyFont="1" applyFill="1" applyBorder="1" applyAlignment="1">
      <alignment horizontal="center" vertical="center" readingOrder="1"/>
    </xf>
    <xf numFmtId="0" fontId="6" fillId="3" borderId="10" xfId="0" applyNumberFormat="1" applyFont="1" applyFill="1" applyBorder="1" applyAlignment="1">
      <alignment horizontal="center" vertical="center" readingOrder="1"/>
    </xf>
    <xf numFmtId="0" fontId="6" fillId="3" borderId="10" xfId="0" quotePrefix="1" applyFont="1" applyFill="1" applyBorder="1" applyAlignment="1">
      <alignment horizontal="left" vertical="center" readingOrder="1"/>
    </xf>
    <xf numFmtId="0" fontId="2" fillId="2" borderId="4" xfId="0" applyFont="1" applyFill="1" applyBorder="1" applyAlignment="1">
      <alignment horizontal="center" vertical="center"/>
    </xf>
    <xf numFmtId="0" fontId="2" fillId="2" borderId="7" xfId="0" applyFont="1" applyFill="1" applyBorder="1" applyAlignment="1">
      <alignment horizontal="center" vertical="center"/>
    </xf>
    <xf numFmtId="0" fontId="2" fillId="15" borderId="4" xfId="0" applyFont="1" applyFill="1" applyBorder="1" applyAlignment="1">
      <alignment horizontal="center" vertical="center"/>
    </xf>
    <xf numFmtId="49" fontId="6" fillId="15" borderId="5" xfId="0" applyNumberFormat="1" applyFont="1" applyFill="1" applyBorder="1" applyAlignment="1">
      <alignment horizontal="center" vertical="center" readingOrder="1"/>
    </xf>
    <xf numFmtId="0" fontId="6" fillId="15" borderId="5" xfId="0" applyFont="1" applyFill="1" applyBorder="1" applyAlignment="1">
      <alignment horizontal="center" vertical="center" readingOrder="1"/>
    </xf>
    <xf numFmtId="0" fontId="6" fillId="15" borderId="5" xfId="0" quotePrefix="1" applyFont="1" applyFill="1" applyBorder="1" applyAlignment="1">
      <alignment horizontal="center" vertical="center" readingOrder="1"/>
    </xf>
    <xf numFmtId="0" fontId="6" fillId="15" borderId="5" xfId="0" applyNumberFormat="1" applyFont="1" applyFill="1" applyBorder="1" applyAlignment="1">
      <alignment horizontal="center" vertical="center" readingOrder="1"/>
    </xf>
    <xf numFmtId="0" fontId="6" fillId="15" borderId="5" xfId="0" quotePrefix="1" applyFont="1" applyFill="1" applyBorder="1" applyAlignment="1">
      <alignment horizontal="left" vertical="center" readingOrder="1"/>
    </xf>
    <xf numFmtId="0" fontId="2" fillId="15" borderId="7" xfId="0" applyFont="1" applyFill="1" applyBorder="1" applyAlignment="1">
      <alignment horizontal="center" vertical="center"/>
    </xf>
    <xf numFmtId="49" fontId="6" fillId="15" borderId="1" xfId="0" applyNumberFormat="1" applyFont="1" applyFill="1" applyBorder="1" applyAlignment="1">
      <alignment horizontal="center" vertical="center" readingOrder="1"/>
    </xf>
    <xf numFmtId="0" fontId="6" fillId="15" borderId="1" xfId="0" applyFont="1" applyFill="1" applyBorder="1" applyAlignment="1">
      <alignment horizontal="center" vertical="center" readingOrder="1"/>
    </xf>
    <xf numFmtId="0" fontId="6" fillId="15" borderId="1" xfId="0" quotePrefix="1" applyFont="1" applyFill="1" applyBorder="1" applyAlignment="1">
      <alignment horizontal="center" vertical="center" readingOrder="1"/>
    </xf>
    <xf numFmtId="0" fontId="6" fillId="15" borderId="1" xfId="0" applyNumberFormat="1" applyFont="1" applyFill="1" applyBorder="1" applyAlignment="1">
      <alignment horizontal="center" vertical="center" readingOrder="1"/>
    </xf>
    <xf numFmtId="0" fontId="6" fillId="15" borderId="1" xfId="0" quotePrefix="1" applyFont="1" applyFill="1" applyBorder="1" applyAlignment="1">
      <alignment horizontal="left" vertical="center" readingOrder="1"/>
    </xf>
    <xf numFmtId="0" fontId="6" fillId="15" borderId="10" xfId="0" quotePrefix="1" applyFont="1" applyFill="1" applyBorder="1" applyAlignment="1">
      <alignment horizontal="center" vertical="center" readingOrder="1"/>
    </xf>
    <xf numFmtId="0" fontId="6" fillId="4" borderId="14" xfId="0" quotePrefix="1" applyFont="1" applyFill="1" applyBorder="1" applyAlignment="1">
      <alignment horizontal="center" vertical="center" readingOrder="1"/>
    </xf>
    <xf numFmtId="0" fontId="2" fillId="15" borderId="22" xfId="0" applyFont="1" applyFill="1" applyBorder="1" applyAlignment="1">
      <alignment horizontal="center" vertical="center"/>
    </xf>
    <xf numFmtId="49" fontId="6" fillId="15" borderId="23" xfId="0" applyNumberFormat="1" applyFont="1" applyFill="1" applyBorder="1" applyAlignment="1">
      <alignment horizontal="center" vertical="center" readingOrder="1"/>
    </xf>
    <xf numFmtId="0" fontId="6" fillId="15" borderId="23" xfId="0" applyFont="1" applyFill="1" applyBorder="1" applyAlignment="1">
      <alignment horizontal="center" vertical="center" readingOrder="1"/>
    </xf>
    <xf numFmtId="0" fontId="6" fillId="15" borderId="23" xfId="0" quotePrefix="1" applyFont="1" applyFill="1" applyBorder="1" applyAlignment="1">
      <alignment horizontal="center" vertical="center" readingOrder="1"/>
    </xf>
    <xf numFmtId="0" fontId="6" fillId="15" borderId="23" xfId="0" applyNumberFormat="1" applyFont="1" applyFill="1" applyBorder="1" applyAlignment="1">
      <alignment horizontal="center" vertical="center" readingOrder="1"/>
    </xf>
    <xf numFmtId="0" fontId="6" fillId="15" borderId="23" xfId="0" quotePrefix="1" applyFont="1" applyFill="1" applyBorder="1" applyAlignment="1">
      <alignment horizontal="left" vertical="center" readingOrder="1"/>
    </xf>
    <xf numFmtId="0" fontId="2" fillId="4" borderId="4" xfId="0" applyFont="1" applyFill="1" applyBorder="1" applyAlignment="1">
      <alignment horizontal="center" vertical="center"/>
    </xf>
    <xf numFmtId="0" fontId="2" fillId="4" borderId="7" xfId="0" applyFont="1" applyFill="1" applyBorder="1" applyAlignment="1">
      <alignment horizontal="center" vertical="center"/>
    </xf>
    <xf numFmtId="0" fontId="2" fillId="4" borderId="9" xfId="0" applyFont="1" applyFill="1" applyBorder="1" applyAlignment="1">
      <alignment horizontal="center" vertical="center"/>
    </xf>
    <xf numFmtId="0" fontId="2" fillId="14" borderId="4" xfId="0" applyFont="1" applyFill="1" applyBorder="1" applyAlignment="1">
      <alignment horizontal="center" vertical="center"/>
    </xf>
    <xf numFmtId="49" fontId="6" fillId="14" borderId="5" xfId="0" applyNumberFormat="1" applyFont="1" applyFill="1" applyBorder="1" applyAlignment="1">
      <alignment horizontal="center" vertical="center" readingOrder="1"/>
    </xf>
    <xf numFmtId="0" fontId="6" fillId="14" borderId="5" xfId="0" applyFont="1" applyFill="1" applyBorder="1" applyAlignment="1">
      <alignment horizontal="center" vertical="center" readingOrder="1"/>
    </xf>
    <xf numFmtId="0" fontId="6" fillId="14" borderId="5" xfId="0" quotePrefix="1" applyFont="1" applyFill="1" applyBorder="1" applyAlignment="1">
      <alignment horizontal="center" vertical="center" readingOrder="1"/>
    </xf>
    <xf numFmtId="0" fontId="6" fillId="14" borderId="5" xfId="0" applyNumberFormat="1" applyFont="1" applyFill="1" applyBorder="1" applyAlignment="1">
      <alignment horizontal="center" vertical="center" readingOrder="1"/>
    </xf>
    <xf numFmtId="0" fontId="6" fillId="14" borderId="5" xfId="0" quotePrefix="1" applyFont="1" applyFill="1" applyBorder="1" applyAlignment="1">
      <alignment horizontal="left" vertical="center" readingOrder="1"/>
    </xf>
    <xf numFmtId="0" fontId="2" fillId="14" borderId="7" xfId="0" applyFont="1" applyFill="1" applyBorder="1" applyAlignment="1">
      <alignment horizontal="center" vertical="center"/>
    </xf>
    <xf numFmtId="49" fontId="6" fillId="14" borderId="1" xfId="0" applyNumberFormat="1" applyFont="1" applyFill="1" applyBorder="1" applyAlignment="1">
      <alignment horizontal="center" vertical="center" readingOrder="1"/>
    </xf>
    <xf numFmtId="0" fontId="6" fillId="14" borderId="1" xfId="0" applyFont="1" applyFill="1" applyBorder="1" applyAlignment="1">
      <alignment horizontal="center" vertical="center" readingOrder="1"/>
    </xf>
    <xf numFmtId="0" fontId="6" fillId="14" borderId="1" xfId="0" quotePrefix="1" applyFont="1" applyFill="1" applyBorder="1" applyAlignment="1">
      <alignment horizontal="center" vertical="center" readingOrder="1"/>
    </xf>
    <xf numFmtId="0" fontId="6" fillId="14" borderId="1" xfId="0" applyNumberFormat="1" applyFont="1" applyFill="1" applyBorder="1" applyAlignment="1">
      <alignment horizontal="center" vertical="center" readingOrder="1"/>
    </xf>
    <xf numFmtId="0" fontId="6" fillId="14" borderId="1" xfId="0" quotePrefix="1" applyFont="1" applyFill="1" applyBorder="1" applyAlignment="1">
      <alignment horizontal="left" vertical="center" readingOrder="1"/>
    </xf>
    <xf numFmtId="0" fontId="2" fillId="14" borderId="9" xfId="0" applyFont="1" applyFill="1" applyBorder="1" applyAlignment="1">
      <alignment horizontal="center" vertical="center"/>
    </xf>
    <xf numFmtId="49" fontId="6" fillId="14" borderId="10" xfId="0" applyNumberFormat="1" applyFont="1" applyFill="1" applyBorder="1" applyAlignment="1">
      <alignment horizontal="center" vertical="center" readingOrder="1"/>
    </xf>
    <xf numFmtId="0" fontId="6" fillId="14" borderId="10" xfId="0" applyFont="1" applyFill="1" applyBorder="1" applyAlignment="1">
      <alignment horizontal="center" vertical="center" readingOrder="1"/>
    </xf>
    <xf numFmtId="0" fontId="6" fillId="14" borderId="10" xfId="0" quotePrefix="1" applyFont="1" applyFill="1" applyBorder="1" applyAlignment="1">
      <alignment horizontal="center" vertical="center" readingOrder="1"/>
    </xf>
    <xf numFmtId="0" fontId="6" fillId="14" borderId="10" xfId="0" applyNumberFormat="1" applyFont="1" applyFill="1" applyBorder="1" applyAlignment="1">
      <alignment horizontal="center" vertical="center" readingOrder="1"/>
    </xf>
    <xf numFmtId="0" fontId="6" fillId="14" borderId="10" xfId="0" quotePrefix="1" applyFont="1" applyFill="1" applyBorder="1" applyAlignment="1">
      <alignment horizontal="left" vertical="center" readingOrder="1"/>
    </xf>
    <xf numFmtId="0" fontId="2" fillId="2" borderId="22" xfId="0" applyFont="1" applyFill="1" applyBorder="1" applyAlignment="1">
      <alignment horizontal="center" vertical="center"/>
    </xf>
    <xf numFmtId="49" fontId="6" fillId="2" borderId="23" xfId="0" applyNumberFormat="1" applyFont="1" applyFill="1" applyBorder="1" applyAlignment="1">
      <alignment horizontal="center" vertical="center" readingOrder="1"/>
    </xf>
    <xf numFmtId="0" fontId="6" fillId="2" borderId="23" xfId="0" applyFont="1" applyFill="1" applyBorder="1" applyAlignment="1">
      <alignment horizontal="center" vertical="center" readingOrder="1"/>
    </xf>
    <xf numFmtId="0" fontId="6" fillId="2" borderId="23" xfId="0" quotePrefix="1" applyFont="1" applyFill="1" applyBorder="1" applyAlignment="1">
      <alignment horizontal="center" vertical="center" readingOrder="1"/>
    </xf>
    <xf numFmtId="0" fontId="6" fillId="2" borderId="23" xfId="0" applyNumberFormat="1" applyFont="1" applyFill="1" applyBorder="1" applyAlignment="1">
      <alignment horizontal="center" vertical="center" readingOrder="1"/>
    </xf>
    <xf numFmtId="0" fontId="6" fillId="2" borderId="23" xfId="0" quotePrefix="1" applyFont="1" applyFill="1" applyBorder="1" applyAlignment="1">
      <alignment horizontal="left" vertical="center" readingOrder="1"/>
    </xf>
    <xf numFmtId="0" fontId="6" fillId="4" borderId="12" xfId="0" quotePrefix="1" applyFont="1" applyFill="1" applyBorder="1" applyAlignment="1">
      <alignment horizontal="center" vertical="center" readingOrder="1"/>
    </xf>
    <xf numFmtId="0" fontId="2" fillId="2" borderId="18" xfId="0" applyFont="1" applyFill="1" applyBorder="1" applyAlignment="1">
      <alignment horizontal="center" vertical="center"/>
    </xf>
    <xf numFmtId="0" fontId="6" fillId="2" borderId="19" xfId="0" applyFont="1" applyFill="1" applyBorder="1" applyAlignment="1">
      <alignment horizontal="center" vertical="center" readingOrder="1"/>
    </xf>
    <xf numFmtId="0" fontId="6" fillId="2" borderId="19" xfId="0" quotePrefix="1" applyFont="1" applyFill="1" applyBorder="1" applyAlignment="1">
      <alignment horizontal="center" vertical="center" readingOrder="1"/>
    </xf>
    <xf numFmtId="0" fontId="6" fillId="2" borderId="19" xfId="0" quotePrefix="1" applyFont="1" applyFill="1" applyBorder="1" applyAlignment="1">
      <alignment horizontal="left" vertical="center" readingOrder="1"/>
    </xf>
    <xf numFmtId="0" fontId="2" fillId="8" borderId="4" xfId="0" applyFont="1" applyFill="1" applyBorder="1" applyAlignment="1">
      <alignment horizontal="center" vertical="center"/>
    </xf>
    <xf numFmtId="49" fontId="6" fillId="8" borderId="5" xfId="0" applyNumberFormat="1" applyFont="1" applyFill="1" applyBorder="1" applyAlignment="1">
      <alignment horizontal="center" vertical="center" readingOrder="1"/>
    </xf>
    <xf numFmtId="0" fontId="6" fillId="8" borderId="5" xfId="0" applyFont="1" applyFill="1" applyBorder="1" applyAlignment="1">
      <alignment horizontal="center" vertical="center" readingOrder="1"/>
    </xf>
    <xf numFmtId="0" fontId="6" fillId="8" borderId="5" xfId="0" quotePrefix="1" applyFont="1" applyFill="1" applyBorder="1" applyAlignment="1">
      <alignment horizontal="center" vertical="center" readingOrder="1"/>
    </xf>
    <xf numFmtId="0" fontId="6" fillId="8" borderId="5" xfId="0" applyNumberFormat="1" applyFont="1" applyFill="1" applyBorder="1" applyAlignment="1">
      <alignment horizontal="center" vertical="center" readingOrder="1"/>
    </xf>
    <xf numFmtId="0" fontId="6" fillId="8" borderId="5" xfId="0" quotePrefix="1" applyFont="1" applyFill="1" applyBorder="1" applyAlignment="1">
      <alignment horizontal="left" vertical="center" readingOrder="1"/>
    </xf>
    <xf numFmtId="0" fontId="2" fillId="8" borderId="7" xfId="0" applyFont="1" applyFill="1" applyBorder="1" applyAlignment="1">
      <alignment horizontal="center" vertical="center"/>
    </xf>
    <xf numFmtId="49" fontId="6" fillId="8" borderId="1" xfId="0" applyNumberFormat="1" applyFont="1" applyFill="1" applyBorder="1" applyAlignment="1">
      <alignment horizontal="center" vertical="center" readingOrder="1"/>
    </xf>
    <xf numFmtId="0" fontId="6" fillId="8" borderId="1" xfId="0" applyFont="1" applyFill="1" applyBorder="1" applyAlignment="1">
      <alignment horizontal="center" vertical="center" readingOrder="1"/>
    </xf>
    <xf numFmtId="0" fontId="6" fillId="8" borderId="1" xfId="0" quotePrefix="1" applyFont="1" applyFill="1" applyBorder="1" applyAlignment="1">
      <alignment horizontal="center" vertical="center" readingOrder="1"/>
    </xf>
    <xf numFmtId="0" fontId="6" fillId="8" borderId="1" xfId="0" applyNumberFormat="1" applyFont="1" applyFill="1" applyBorder="1" applyAlignment="1">
      <alignment horizontal="center" vertical="center" readingOrder="1"/>
    </xf>
    <xf numFmtId="0" fontId="6" fillId="8" borderId="1" xfId="0" quotePrefix="1" applyFont="1" applyFill="1" applyBorder="1" applyAlignment="1">
      <alignment horizontal="left" vertical="center" readingOrder="1"/>
    </xf>
    <xf numFmtId="0" fontId="2" fillId="8" borderId="9" xfId="0" applyFont="1" applyFill="1" applyBorder="1" applyAlignment="1">
      <alignment horizontal="center" vertical="center"/>
    </xf>
    <xf numFmtId="49" fontId="6" fillId="8" borderId="10" xfId="0" applyNumberFormat="1" applyFont="1" applyFill="1" applyBorder="1" applyAlignment="1">
      <alignment horizontal="center" vertical="center" readingOrder="1"/>
    </xf>
    <xf numFmtId="0" fontId="6" fillId="8" borderId="10" xfId="0" applyFont="1" applyFill="1" applyBorder="1" applyAlignment="1">
      <alignment horizontal="center" vertical="center" readingOrder="1"/>
    </xf>
    <xf numFmtId="0" fontId="6" fillId="8" borderId="10" xfId="0" quotePrefix="1" applyFont="1" applyFill="1" applyBorder="1" applyAlignment="1">
      <alignment horizontal="center" vertical="center" readingOrder="1"/>
    </xf>
    <xf numFmtId="0" fontId="6" fillId="8" borderId="10" xfId="0" applyNumberFormat="1" applyFont="1" applyFill="1" applyBorder="1" applyAlignment="1">
      <alignment horizontal="center" vertical="center" readingOrder="1"/>
    </xf>
    <xf numFmtId="0" fontId="6" fillId="8" borderId="10" xfId="0" quotePrefix="1" applyFont="1" applyFill="1" applyBorder="1" applyAlignment="1">
      <alignment horizontal="left" vertical="center" readingOrder="1"/>
    </xf>
    <xf numFmtId="0" fontId="6" fillId="4" borderId="12" xfId="0" applyFont="1" applyFill="1" applyBorder="1" applyAlignment="1">
      <alignment horizontal="center" vertical="center" readingOrder="1"/>
    </xf>
    <xf numFmtId="0" fontId="6" fillId="4" borderId="12" xfId="0" applyNumberFormat="1" applyFont="1" applyFill="1" applyBorder="1" applyAlignment="1">
      <alignment horizontal="center" vertical="center" readingOrder="1"/>
    </xf>
    <xf numFmtId="0" fontId="6" fillId="4" borderId="12" xfId="0" quotePrefix="1" applyFont="1" applyFill="1" applyBorder="1" applyAlignment="1">
      <alignment horizontal="left" vertical="center" readingOrder="1"/>
    </xf>
    <xf numFmtId="0" fontId="2" fillId="13" borderId="4" xfId="0" applyFont="1" applyFill="1" applyBorder="1" applyAlignment="1">
      <alignment horizontal="center" vertical="center"/>
    </xf>
    <xf numFmtId="49" fontId="6" fillId="13" borderId="5" xfId="0" applyNumberFormat="1" applyFont="1" applyFill="1" applyBorder="1" applyAlignment="1">
      <alignment horizontal="center" vertical="center" readingOrder="1"/>
    </xf>
    <xf numFmtId="0" fontId="6" fillId="13" borderId="5" xfId="0" applyFont="1" applyFill="1" applyBorder="1" applyAlignment="1">
      <alignment horizontal="center" vertical="center" readingOrder="1"/>
    </xf>
    <xf numFmtId="0" fontId="6" fillId="13" borderId="5" xfId="0" quotePrefix="1" applyFont="1" applyFill="1" applyBorder="1" applyAlignment="1">
      <alignment horizontal="center" vertical="center" readingOrder="1"/>
    </xf>
    <xf numFmtId="0" fontId="6" fillId="13" borderId="5" xfId="0" applyNumberFormat="1" applyFont="1" applyFill="1" applyBorder="1" applyAlignment="1">
      <alignment horizontal="center" vertical="center" readingOrder="1"/>
    </xf>
    <xf numFmtId="0" fontId="6" fillId="13" borderId="5" xfId="0" quotePrefix="1" applyFont="1" applyFill="1" applyBorder="1" applyAlignment="1">
      <alignment horizontal="left" vertical="center" readingOrder="1"/>
    </xf>
    <xf numFmtId="0" fontId="2" fillId="13" borderId="7" xfId="0" applyFont="1" applyFill="1" applyBorder="1" applyAlignment="1">
      <alignment horizontal="center" vertical="center"/>
    </xf>
    <xf numFmtId="49" fontId="6" fillId="13" borderId="1" xfId="0" applyNumberFormat="1" applyFont="1" applyFill="1" applyBorder="1" applyAlignment="1">
      <alignment horizontal="center" vertical="center" readingOrder="1"/>
    </xf>
    <xf numFmtId="0" fontId="6" fillId="13" borderId="1" xfId="0" applyFont="1" applyFill="1" applyBorder="1" applyAlignment="1">
      <alignment horizontal="center" vertical="center" readingOrder="1"/>
    </xf>
    <xf numFmtId="0" fontId="6" fillId="13" borderId="1" xfId="0" quotePrefix="1" applyFont="1" applyFill="1" applyBorder="1" applyAlignment="1">
      <alignment horizontal="center" vertical="center" readingOrder="1"/>
    </xf>
    <xf numFmtId="0" fontId="6" fillId="13" borderId="1" xfId="0" applyNumberFormat="1" applyFont="1" applyFill="1" applyBorder="1" applyAlignment="1">
      <alignment horizontal="center" vertical="center" readingOrder="1"/>
    </xf>
    <xf numFmtId="0" fontId="6" fillId="13" borderId="1" xfId="0" quotePrefix="1" applyFont="1" applyFill="1" applyBorder="1" applyAlignment="1">
      <alignment horizontal="left" vertical="center" readingOrder="1"/>
    </xf>
    <xf numFmtId="0" fontId="2" fillId="13" borderId="9" xfId="0" applyFont="1" applyFill="1" applyBorder="1" applyAlignment="1">
      <alignment horizontal="center" vertical="center"/>
    </xf>
    <xf numFmtId="49" fontId="6" fillId="13" borderId="10" xfId="0" applyNumberFormat="1" applyFont="1" applyFill="1" applyBorder="1" applyAlignment="1">
      <alignment horizontal="center" vertical="center" readingOrder="1"/>
    </xf>
    <xf numFmtId="0" fontId="6" fillId="13" borderId="10" xfId="0" applyFont="1" applyFill="1" applyBorder="1" applyAlignment="1">
      <alignment horizontal="center" vertical="center" readingOrder="1"/>
    </xf>
    <xf numFmtId="0" fontId="6" fillId="13" borderId="10" xfId="0" quotePrefix="1" applyFont="1" applyFill="1" applyBorder="1" applyAlignment="1">
      <alignment horizontal="center" vertical="center" readingOrder="1"/>
    </xf>
    <xf numFmtId="0" fontId="6" fillId="13" borderId="10" xfId="0" applyNumberFormat="1" applyFont="1" applyFill="1" applyBorder="1" applyAlignment="1">
      <alignment horizontal="center" vertical="center" readingOrder="1"/>
    </xf>
    <xf numFmtId="0" fontId="6" fillId="13" borderId="10" xfId="0" quotePrefix="1" applyFont="1" applyFill="1" applyBorder="1" applyAlignment="1">
      <alignment horizontal="left" vertical="center" readingOrder="1"/>
    </xf>
    <xf numFmtId="0" fontId="2" fillId="11" borderId="4" xfId="0" applyFont="1" applyFill="1" applyBorder="1" applyAlignment="1">
      <alignment horizontal="center" vertical="center"/>
    </xf>
    <xf numFmtId="49" fontId="6" fillId="11" borderId="5" xfId="0" applyNumberFormat="1" applyFont="1" applyFill="1" applyBorder="1" applyAlignment="1">
      <alignment horizontal="center" vertical="center" readingOrder="1"/>
    </xf>
    <xf numFmtId="0" fontId="6" fillId="11" borderId="5" xfId="0" applyFont="1" applyFill="1" applyBorder="1" applyAlignment="1">
      <alignment horizontal="center" vertical="center" readingOrder="1"/>
    </xf>
    <xf numFmtId="0" fontId="6" fillId="11" borderId="5" xfId="0" applyNumberFormat="1" applyFont="1" applyFill="1" applyBorder="1" applyAlignment="1">
      <alignment horizontal="center" vertical="center" readingOrder="1"/>
    </xf>
    <xf numFmtId="0" fontId="6" fillId="11" borderId="5" xfId="0" quotePrefix="1" applyFont="1" applyFill="1" applyBorder="1" applyAlignment="1">
      <alignment horizontal="left" vertical="center" readingOrder="1"/>
    </xf>
    <xf numFmtId="0" fontId="6" fillId="11" borderId="5" xfId="0" quotePrefix="1" applyFont="1" applyFill="1" applyBorder="1" applyAlignment="1">
      <alignment horizontal="center" vertical="center" readingOrder="1"/>
    </xf>
    <xf numFmtId="0" fontId="2" fillId="11" borderId="7" xfId="0" applyFont="1" applyFill="1" applyBorder="1" applyAlignment="1">
      <alignment horizontal="center" vertical="center"/>
    </xf>
    <xf numFmtId="49" fontId="6" fillId="11" borderId="1" xfId="0" applyNumberFormat="1" applyFont="1" applyFill="1" applyBorder="1" applyAlignment="1">
      <alignment horizontal="center" vertical="center" readingOrder="1"/>
    </xf>
    <xf numFmtId="0" fontId="6" fillId="11" borderId="1" xfId="0" applyFont="1" applyFill="1" applyBorder="1" applyAlignment="1">
      <alignment horizontal="center" vertical="center" readingOrder="1"/>
    </xf>
    <xf numFmtId="0" fontId="6" fillId="11" borderId="1" xfId="0" applyNumberFormat="1" applyFont="1" applyFill="1" applyBorder="1" applyAlignment="1">
      <alignment horizontal="center" vertical="center" readingOrder="1"/>
    </xf>
    <xf numFmtId="0" fontId="6" fillId="11" borderId="1" xfId="0" quotePrefix="1" applyFont="1" applyFill="1" applyBorder="1" applyAlignment="1">
      <alignment horizontal="left" vertical="center" readingOrder="1"/>
    </xf>
    <xf numFmtId="0" fontId="6" fillId="11" borderId="1" xfId="0" quotePrefix="1" applyFont="1" applyFill="1" applyBorder="1" applyAlignment="1">
      <alignment horizontal="center" vertical="center" readingOrder="1"/>
    </xf>
    <xf numFmtId="0" fontId="2" fillId="16" borderId="4" xfId="0" applyFont="1" applyFill="1" applyBorder="1" applyAlignment="1">
      <alignment horizontal="center" vertical="center"/>
    </xf>
    <xf numFmtId="49" fontId="6" fillId="16" borderId="5" xfId="0" applyNumberFormat="1" applyFont="1" applyFill="1" applyBorder="1" applyAlignment="1">
      <alignment horizontal="center" vertical="center" readingOrder="1"/>
    </xf>
    <xf numFmtId="0" fontId="6" fillId="16" borderId="5" xfId="0" applyFont="1" applyFill="1" applyBorder="1" applyAlignment="1">
      <alignment horizontal="center" vertical="center" readingOrder="1"/>
    </xf>
    <xf numFmtId="0" fontId="6" fillId="16" borderId="5" xfId="0" applyNumberFormat="1" applyFont="1" applyFill="1" applyBorder="1" applyAlignment="1">
      <alignment horizontal="center" vertical="center" readingOrder="1"/>
    </xf>
    <xf numFmtId="0" fontId="6" fillId="16" borderId="5" xfId="0" quotePrefix="1" applyFont="1" applyFill="1" applyBorder="1" applyAlignment="1">
      <alignment horizontal="left" vertical="center" readingOrder="1"/>
    </xf>
    <xf numFmtId="0" fontId="6" fillId="16" borderId="5" xfId="0" quotePrefix="1" applyFont="1" applyFill="1" applyBorder="1" applyAlignment="1">
      <alignment horizontal="center" vertical="center" readingOrder="1"/>
    </xf>
    <xf numFmtId="0" fontId="2" fillId="16" borderId="7" xfId="0" applyFont="1" applyFill="1" applyBorder="1" applyAlignment="1">
      <alignment horizontal="center" vertical="center"/>
    </xf>
    <xf numFmtId="49" fontId="6" fillId="16" borderId="1" xfId="0" applyNumberFormat="1" applyFont="1" applyFill="1" applyBorder="1" applyAlignment="1">
      <alignment horizontal="center" vertical="center" readingOrder="1"/>
    </xf>
    <xf numFmtId="0" fontId="6" fillId="16" borderId="1" xfId="0" applyFont="1" applyFill="1" applyBorder="1" applyAlignment="1">
      <alignment horizontal="center" vertical="center" readingOrder="1"/>
    </xf>
    <xf numFmtId="0" fontId="6" fillId="16" borderId="1" xfId="0" applyNumberFormat="1" applyFont="1" applyFill="1" applyBorder="1" applyAlignment="1">
      <alignment horizontal="center" vertical="center" readingOrder="1"/>
    </xf>
    <xf numFmtId="0" fontId="6" fillId="16" borderId="1" xfId="0" quotePrefix="1" applyFont="1" applyFill="1" applyBorder="1" applyAlignment="1">
      <alignment horizontal="left" vertical="center" readingOrder="1"/>
    </xf>
    <xf numFmtId="0" fontId="6" fillId="16" borderId="1" xfId="0" quotePrefix="1" applyFont="1" applyFill="1" applyBorder="1" applyAlignment="1">
      <alignment horizontal="center" vertical="center" readingOrder="1"/>
    </xf>
    <xf numFmtId="0" fontId="2" fillId="11" borderId="22" xfId="0" applyFont="1" applyFill="1" applyBorder="1" applyAlignment="1">
      <alignment horizontal="center" vertical="center"/>
    </xf>
    <xf numFmtId="49" fontId="6" fillId="11" borderId="23" xfId="0" applyNumberFormat="1" applyFont="1" applyFill="1" applyBorder="1" applyAlignment="1">
      <alignment horizontal="center" vertical="center" readingOrder="1"/>
    </xf>
    <xf numFmtId="0" fontId="6" fillId="11" borderId="23" xfId="0" applyFont="1" applyFill="1" applyBorder="1" applyAlignment="1">
      <alignment horizontal="center" vertical="center" readingOrder="1"/>
    </xf>
    <xf numFmtId="0" fontId="6" fillId="11" borderId="23" xfId="0" applyNumberFormat="1" applyFont="1" applyFill="1" applyBorder="1" applyAlignment="1">
      <alignment horizontal="center" vertical="center" readingOrder="1"/>
    </xf>
    <xf numFmtId="0" fontId="6" fillId="11" borderId="23" xfId="0" quotePrefix="1" applyFont="1" applyFill="1" applyBorder="1" applyAlignment="1">
      <alignment horizontal="left" vertical="center" readingOrder="1"/>
    </xf>
    <xf numFmtId="0" fontId="6" fillId="11" borderId="23" xfId="0" quotePrefix="1" applyFont="1" applyFill="1" applyBorder="1" applyAlignment="1">
      <alignment horizontal="center" vertical="center" readingOrder="1"/>
    </xf>
    <xf numFmtId="0" fontId="2" fillId="16" borderId="22" xfId="0" applyFont="1" applyFill="1" applyBorder="1" applyAlignment="1">
      <alignment horizontal="center" vertical="center"/>
    </xf>
    <xf numFmtId="49" fontId="6" fillId="16" borderId="23" xfId="0" applyNumberFormat="1" applyFont="1" applyFill="1" applyBorder="1" applyAlignment="1">
      <alignment horizontal="center" vertical="center" readingOrder="1"/>
    </xf>
    <xf numFmtId="0" fontId="6" fillId="16" borderId="23" xfId="0" applyFont="1" applyFill="1" applyBorder="1" applyAlignment="1">
      <alignment horizontal="center" vertical="center" readingOrder="1"/>
    </xf>
    <xf numFmtId="0" fontId="6" fillId="16" borderId="23" xfId="0" applyNumberFormat="1" applyFont="1" applyFill="1" applyBorder="1" applyAlignment="1">
      <alignment horizontal="center" vertical="center" readingOrder="1"/>
    </xf>
    <xf numFmtId="0" fontId="6" fillId="16" borderId="23" xfId="0" quotePrefix="1" applyFont="1" applyFill="1" applyBorder="1" applyAlignment="1">
      <alignment horizontal="left" vertical="center" readingOrder="1"/>
    </xf>
    <xf numFmtId="0" fontId="6" fillId="16" borderId="23" xfId="0" quotePrefix="1" applyFont="1" applyFill="1" applyBorder="1" applyAlignment="1">
      <alignment horizontal="center" vertical="center" readingOrder="1"/>
    </xf>
    <xf numFmtId="0" fontId="2" fillId="17" borderId="4" xfId="0" applyFont="1" applyFill="1" applyBorder="1" applyAlignment="1">
      <alignment horizontal="center" vertical="center"/>
    </xf>
    <xf numFmtId="49" fontId="6" fillId="17" borderId="5" xfId="0" applyNumberFormat="1" applyFont="1" applyFill="1" applyBorder="1" applyAlignment="1">
      <alignment horizontal="center" vertical="center" readingOrder="1"/>
    </xf>
    <xf numFmtId="0" fontId="6" fillId="17" borderId="5" xfId="0" applyFont="1" applyFill="1" applyBorder="1" applyAlignment="1">
      <alignment horizontal="center" vertical="center" readingOrder="1"/>
    </xf>
    <xf numFmtId="0" fontId="6" fillId="17" borderId="5" xfId="0" applyNumberFormat="1" applyFont="1" applyFill="1" applyBorder="1" applyAlignment="1">
      <alignment horizontal="center" vertical="center" readingOrder="1"/>
    </xf>
    <xf numFmtId="0" fontId="6" fillId="17" borderId="5" xfId="0" quotePrefix="1" applyFont="1" applyFill="1" applyBorder="1" applyAlignment="1">
      <alignment horizontal="left" vertical="center" readingOrder="1"/>
    </xf>
    <xf numFmtId="0" fontId="6" fillId="17" borderId="5" xfId="0" quotePrefix="1" applyFont="1" applyFill="1" applyBorder="1" applyAlignment="1">
      <alignment horizontal="center" vertical="center" readingOrder="1"/>
    </xf>
    <xf numFmtId="0" fontId="2" fillId="17" borderId="7" xfId="0" applyFont="1" applyFill="1" applyBorder="1" applyAlignment="1">
      <alignment horizontal="center" vertical="center"/>
    </xf>
    <xf numFmtId="49" fontId="6" fillId="17" borderId="1" xfId="0" applyNumberFormat="1" applyFont="1" applyFill="1" applyBorder="1" applyAlignment="1">
      <alignment horizontal="center" vertical="center" readingOrder="1"/>
    </xf>
    <xf numFmtId="0" fontId="6" fillId="17" borderId="1" xfId="0" applyFont="1" applyFill="1" applyBorder="1" applyAlignment="1">
      <alignment horizontal="center" vertical="center" readingOrder="1"/>
    </xf>
    <xf numFmtId="0" fontId="6" fillId="17" borderId="1" xfId="0" applyNumberFormat="1" applyFont="1" applyFill="1" applyBorder="1" applyAlignment="1">
      <alignment horizontal="center" vertical="center" readingOrder="1"/>
    </xf>
    <xf numFmtId="0" fontId="6" fillId="17" borderId="1" xfId="0" quotePrefix="1" applyFont="1" applyFill="1" applyBorder="1" applyAlignment="1">
      <alignment horizontal="left" vertical="center" readingOrder="1"/>
    </xf>
    <xf numFmtId="0" fontId="6" fillId="17" borderId="1" xfId="0" quotePrefix="1" applyFont="1" applyFill="1" applyBorder="1" applyAlignment="1">
      <alignment horizontal="center" vertical="center" readingOrder="1"/>
    </xf>
    <xf numFmtId="0" fontId="2" fillId="17" borderId="9" xfId="0" applyFont="1" applyFill="1" applyBorder="1" applyAlignment="1">
      <alignment horizontal="center" vertical="center"/>
    </xf>
    <xf numFmtId="49" fontId="6" fillId="17" borderId="10" xfId="0" applyNumberFormat="1" applyFont="1" applyFill="1" applyBorder="1" applyAlignment="1">
      <alignment horizontal="center" vertical="center" readingOrder="1"/>
    </xf>
    <xf numFmtId="0" fontId="6" fillId="17" borderId="10" xfId="0" applyFont="1" applyFill="1" applyBorder="1" applyAlignment="1">
      <alignment horizontal="center" vertical="center" readingOrder="1"/>
    </xf>
    <xf numFmtId="0" fontId="6" fillId="17" borderId="10" xfId="0" applyNumberFormat="1" applyFont="1" applyFill="1" applyBorder="1" applyAlignment="1">
      <alignment horizontal="center" vertical="center" readingOrder="1"/>
    </xf>
    <xf numFmtId="0" fontId="6" fillId="17" borderId="10" xfId="0" quotePrefix="1" applyFont="1" applyFill="1" applyBorder="1" applyAlignment="1">
      <alignment horizontal="left" vertical="center" readingOrder="1"/>
    </xf>
    <xf numFmtId="0" fontId="6" fillId="17" borderId="10" xfId="0" quotePrefix="1" applyFont="1" applyFill="1" applyBorder="1" applyAlignment="1">
      <alignment horizontal="center" vertical="center" readingOrder="1"/>
    </xf>
    <xf numFmtId="0" fontId="2" fillId="16" borderId="18" xfId="0" applyFont="1" applyFill="1" applyBorder="1" applyAlignment="1">
      <alignment horizontal="center" vertical="center"/>
    </xf>
    <xf numFmtId="49" fontId="6" fillId="16" borderId="19" xfId="0" applyNumberFormat="1" applyFont="1" applyFill="1" applyBorder="1" applyAlignment="1">
      <alignment horizontal="center" vertical="center" readingOrder="1"/>
    </xf>
    <xf numFmtId="0" fontId="6" fillId="16" borderId="19" xfId="0" applyFont="1" applyFill="1" applyBorder="1" applyAlignment="1">
      <alignment horizontal="center" vertical="center" readingOrder="1"/>
    </xf>
    <xf numFmtId="0" fontId="6" fillId="16" borderId="19" xfId="0" applyNumberFormat="1" applyFont="1" applyFill="1" applyBorder="1" applyAlignment="1">
      <alignment horizontal="center" vertical="center" readingOrder="1"/>
    </xf>
    <xf numFmtId="0" fontId="6" fillId="16" borderId="19" xfId="0" quotePrefix="1" applyFont="1" applyFill="1" applyBorder="1" applyAlignment="1">
      <alignment horizontal="left" vertical="center" readingOrder="1"/>
    </xf>
    <xf numFmtId="0" fontId="6" fillId="16" borderId="19" xfId="0" quotePrefix="1" applyFont="1" applyFill="1" applyBorder="1" applyAlignment="1">
      <alignment horizontal="center" vertical="center" readingOrder="1"/>
    </xf>
    <xf numFmtId="0" fontId="9" fillId="8" borderId="10" xfId="0" applyNumberFormat="1" applyFont="1" applyFill="1" applyBorder="1" applyAlignment="1" applyProtection="1">
      <alignment horizontal="center" vertical="center"/>
      <protection locked="0"/>
    </xf>
    <xf numFmtId="0" fontId="9" fillId="11" borderId="10" xfId="0" applyFont="1" applyFill="1" applyBorder="1" applyAlignment="1" applyProtection="1">
      <alignment vertical="center"/>
      <protection locked="0"/>
    </xf>
    <xf numFmtId="9" fontId="9" fillId="2" borderId="17" xfId="1" applyFont="1" applyFill="1" applyBorder="1" applyAlignment="1" applyProtection="1">
      <alignment horizontal="center" vertical="center"/>
      <protection locked="0"/>
    </xf>
    <xf numFmtId="0" fontId="6" fillId="8" borderId="23" xfId="0" quotePrefix="1" applyFont="1" applyFill="1" applyBorder="1" applyAlignment="1">
      <alignment horizontal="center" vertical="center" readingOrder="1"/>
    </xf>
    <xf numFmtId="0" fontId="2" fillId="14" borderId="1" xfId="0" applyFont="1" applyFill="1" applyBorder="1" applyAlignment="1">
      <alignment horizontal="center" vertical="center"/>
    </xf>
    <xf numFmtId="0" fontId="6" fillId="14" borderId="23" xfId="0" quotePrefix="1" applyFont="1" applyFill="1" applyBorder="1" applyAlignment="1">
      <alignment horizontal="center" vertical="center" readingOrder="1"/>
    </xf>
    <xf numFmtId="0" fontId="2" fillId="14" borderId="11" xfId="0" applyFont="1" applyFill="1" applyBorder="1" applyAlignment="1">
      <alignment horizontal="center" vertical="center"/>
    </xf>
    <xf numFmtId="49" fontId="6" fillId="14" borderId="12" xfId="0" applyNumberFormat="1" applyFont="1" applyFill="1" applyBorder="1" applyAlignment="1">
      <alignment horizontal="center" vertical="center" readingOrder="1"/>
    </xf>
    <xf numFmtId="0" fontId="6" fillId="14" borderId="12" xfId="0" applyFont="1" applyFill="1" applyBorder="1" applyAlignment="1">
      <alignment horizontal="center" vertical="center" readingOrder="1"/>
    </xf>
    <xf numFmtId="0" fontId="6" fillId="14" borderId="12" xfId="0" applyNumberFormat="1" applyFont="1" applyFill="1" applyBorder="1" applyAlignment="1">
      <alignment horizontal="center" vertical="center" readingOrder="1"/>
    </xf>
    <xf numFmtId="0" fontId="6" fillId="14" borderId="12" xfId="0" quotePrefix="1" applyFont="1" applyFill="1" applyBorder="1" applyAlignment="1">
      <alignment horizontal="left" vertical="center" readingOrder="1"/>
    </xf>
    <xf numFmtId="0" fontId="6" fillId="14" borderId="12" xfId="0" quotePrefix="1" applyFont="1" applyFill="1" applyBorder="1" applyAlignment="1">
      <alignment horizontal="center" vertical="center" readingOrder="1"/>
    </xf>
    <xf numFmtId="0" fontId="6" fillId="14" borderId="19" xfId="0" quotePrefix="1" applyFont="1" applyFill="1" applyBorder="1" applyAlignment="1">
      <alignment horizontal="center" vertical="center" readingOrder="1"/>
    </xf>
    <xf numFmtId="0" fontId="6" fillId="5" borderId="5" xfId="0" quotePrefix="1" applyFont="1" applyFill="1" applyBorder="1" applyAlignment="1">
      <alignment horizontal="center" vertical="center" readingOrder="1"/>
    </xf>
    <xf numFmtId="0" fontId="2" fillId="5" borderId="7" xfId="0" applyFont="1" applyFill="1" applyBorder="1" applyAlignment="1">
      <alignment horizontal="center" vertical="center"/>
    </xf>
    <xf numFmtId="49" fontId="6" fillId="5" borderId="1" xfId="0" applyNumberFormat="1" applyFont="1" applyFill="1" applyBorder="1" applyAlignment="1">
      <alignment horizontal="center" vertical="center" readingOrder="1"/>
    </xf>
    <xf numFmtId="0" fontId="6" fillId="5" borderId="1" xfId="0" applyFont="1" applyFill="1" applyBorder="1" applyAlignment="1">
      <alignment horizontal="center" vertical="center" readingOrder="1"/>
    </xf>
    <xf numFmtId="0" fontId="6" fillId="5" borderId="1" xfId="0" applyNumberFormat="1" applyFont="1" applyFill="1" applyBorder="1" applyAlignment="1">
      <alignment horizontal="center" vertical="center" readingOrder="1"/>
    </xf>
    <xf numFmtId="0" fontId="6" fillId="5" borderId="1" xfId="0" quotePrefix="1" applyFont="1" applyFill="1" applyBorder="1" applyAlignment="1">
      <alignment horizontal="left" vertical="center" readingOrder="1"/>
    </xf>
    <xf numFmtId="0" fontId="6" fillId="5" borderId="1" xfId="0" quotePrefix="1" applyFont="1" applyFill="1" applyBorder="1" applyAlignment="1">
      <alignment horizontal="center" vertical="center" readingOrder="1"/>
    </xf>
    <xf numFmtId="0" fontId="2" fillId="5" borderId="22" xfId="0" applyFont="1" applyFill="1" applyBorder="1" applyAlignment="1">
      <alignment horizontal="center" vertical="center"/>
    </xf>
    <xf numFmtId="49" fontId="6" fillId="5" borderId="23" xfId="0" applyNumberFormat="1" applyFont="1" applyFill="1" applyBorder="1" applyAlignment="1">
      <alignment horizontal="center" vertical="center" readingOrder="1"/>
    </xf>
    <xf numFmtId="0" fontId="6" fillId="5" borderId="23" xfId="0" applyFont="1" applyFill="1" applyBorder="1" applyAlignment="1">
      <alignment horizontal="center" vertical="center" readingOrder="1"/>
    </xf>
    <xf numFmtId="0" fontId="6" fillId="5" borderId="23" xfId="0" applyNumberFormat="1" applyFont="1" applyFill="1" applyBorder="1" applyAlignment="1">
      <alignment horizontal="center" vertical="center" readingOrder="1"/>
    </xf>
    <xf numFmtId="0" fontId="6" fillId="5" borderId="23" xfId="0" quotePrefix="1" applyFont="1" applyFill="1" applyBorder="1" applyAlignment="1">
      <alignment horizontal="left" vertical="center" readingOrder="1"/>
    </xf>
    <xf numFmtId="0" fontId="6" fillId="5" borderId="23" xfId="0" quotePrefix="1" applyFont="1" applyFill="1" applyBorder="1" applyAlignment="1">
      <alignment horizontal="center" vertical="center" readingOrder="1"/>
    </xf>
    <xf numFmtId="0" fontId="2" fillId="6" borderId="4" xfId="0" applyFont="1" applyFill="1" applyBorder="1" applyAlignment="1">
      <alignment horizontal="center" vertical="center"/>
    </xf>
    <xf numFmtId="49" fontId="6" fillId="6" borderId="5" xfId="0" applyNumberFormat="1" applyFont="1" applyFill="1" applyBorder="1" applyAlignment="1">
      <alignment horizontal="center" vertical="center" readingOrder="1"/>
    </xf>
    <xf numFmtId="0" fontId="6" fillId="6" borderId="5" xfId="0" applyFont="1" applyFill="1" applyBorder="1" applyAlignment="1">
      <alignment horizontal="center" vertical="center" readingOrder="1"/>
    </xf>
    <xf numFmtId="0" fontId="6" fillId="6" borderId="5" xfId="0" applyNumberFormat="1" applyFont="1" applyFill="1" applyBorder="1" applyAlignment="1">
      <alignment horizontal="center" vertical="center" readingOrder="1"/>
    </xf>
    <xf numFmtId="0" fontId="6" fillId="6" borderId="5" xfId="0" quotePrefix="1" applyFont="1" applyFill="1" applyBorder="1" applyAlignment="1">
      <alignment horizontal="left" vertical="center" readingOrder="1"/>
    </xf>
    <xf numFmtId="0" fontId="6" fillId="6" borderId="5" xfId="0" quotePrefix="1" applyFont="1" applyFill="1" applyBorder="1" applyAlignment="1">
      <alignment horizontal="center" vertical="center" readingOrder="1"/>
    </xf>
    <xf numFmtId="0" fontId="2" fillId="6" borderId="7" xfId="0" applyFont="1" applyFill="1" applyBorder="1" applyAlignment="1">
      <alignment horizontal="center" vertical="center"/>
    </xf>
    <xf numFmtId="49" fontId="6" fillId="6" borderId="1" xfId="0" applyNumberFormat="1" applyFont="1" applyFill="1" applyBorder="1" applyAlignment="1">
      <alignment horizontal="center" vertical="center" readingOrder="1"/>
    </xf>
    <xf numFmtId="0" fontId="6" fillId="6" borderId="1" xfId="0" applyFont="1" applyFill="1" applyBorder="1" applyAlignment="1">
      <alignment horizontal="center" vertical="center" readingOrder="1"/>
    </xf>
    <xf numFmtId="0" fontId="6" fillId="6" borderId="1" xfId="0" applyNumberFormat="1" applyFont="1" applyFill="1" applyBorder="1" applyAlignment="1">
      <alignment horizontal="center" vertical="center" readingOrder="1"/>
    </xf>
    <xf numFmtId="0" fontId="6" fillId="6" borderId="1" xfId="0" quotePrefix="1" applyFont="1" applyFill="1" applyBorder="1" applyAlignment="1">
      <alignment horizontal="left" vertical="center" readingOrder="1"/>
    </xf>
    <xf numFmtId="0" fontId="6" fillId="6" borderId="1" xfId="0" quotePrefix="1" applyFont="1" applyFill="1" applyBorder="1" applyAlignment="1">
      <alignment horizontal="center" vertical="center" readingOrder="1"/>
    </xf>
    <xf numFmtId="0" fontId="2" fillId="6" borderId="9" xfId="0" applyFont="1" applyFill="1" applyBorder="1" applyAlignment="1">
      <alignment horizontal="center" vertical="center"/>
    </xf>
    <xf numFmtId="49" fontId="6" fillId="6" borderId="10" xfId="0" applyNumberFormat="1" applyFont="1" applyFill="1" applyBorder="1" applyAlignment="1">
      <alignment horizontal="center" vertical="center" readingOrder="1"/>
    </xf>
    <xf numFmtId="0" fontId="6" fillId="6" borderId="10" xfId="0" applyFont="1" applyFill="1" applyBorder="1" applyAlignment="1">
      <alignment horizontal="center" vertical="center" readingOrder="1"/>
    </xf>
    <xf numFmtId="0" fontId="6" fillId="6" borderId="10" xfId="0" applyNumberFormat="1" applyFont="1" applyFill="1" applyBorder="1" applyAlignment="1">
      <alignment horizontal="center" vertical="center" readingOrder="1"/>
    </xf>
    <xf numFmtId="0" fontId="6" fillId="6" borderId="10" xfId="0" quotePrefix="1" applyFont="1" applyFill="1" applyBorder="1" applyAlignment="1">
      <alignment horizontal="left" vertical="center" readingOrder="1"/>
    </xf>
    <xf numFmtId="0" fontId="6" fillId="6" borderId="10" xfId="0" quotePrefix="1" applyFont="1" applyFill="1" applyBorder="1" applyAlignment="1">
      <alignment horizontal="center" vertical="center" readingOrder="1"/>
    </xf>
    <xf numFmtId="0" fontId="2" fillId="7" borderId="4" xfId="0" applyFont="1" applyFill="1" applyBorder="1" applyAlignment="1">
      <alignment horizontal="center" vertical="center"/>
    </xf>
    <xf numFmtId="49" fontId="6" fillId="7" borderId="5" xfId="0" applyNumberFormat="1" applyFont="1" applyFill="1" applyBorder="1" applyAlignment="1">
      <alignment horizontal="center" vertical="center" readingOrder="1"/>
    </xf>
    <xf numFmtId="0" fontId="6" fillId="7" borderId="5" xfId="0" applyFont="1" applyFill="1" applyBorder="1" applyAlignment="1">
      <alignment horizontal="center" vertical="center" readingOrder="1"/>
    </xf>
    <xf numFmtId="0" fontId="6" fillId="7" borderId="5" xfId="0" applyNumberFormat="1" applyFont="1" applyFill="1" applyBorder="1" applyAlignment="1">
      <alignment horizontal="center" vertical="center" readingOrder="1"/>
    </xf>
    <xf numFmtId="0" fontId="6" fillId="7" borderId="5" xfId="0" quotePrefix="1" applyFont="1" applyFill="1" applyBorder="1" applyAlignment="1">
      <alignment horizontal="left" vertical="center" readingOrder="1"/>
    </xf>
    <xf numFmtId="0" fontId="6" fillId="7" borderId="5" xfId="0" quotePrefix="1" applyFont="1" applyFill="1" applyBorder="1" applyAlignment="1">
      <alignment horizontal="center" vertical="center" readingOrder="1"/>
    </xf>
    <xf numFmtId="0" fontId="2" fillId="7" borderId="7" xfId="0" applyFont="1" applyFill="1" applyBorder="1" applyAlignment="1">
      <alignment horizontal="center" vertical="center"/>
    </xf>
    <xf numFmtId="49" fontId="6" fillId="7" borderId="1" xfId="0" applyNumberFormat="1" applyFont="1" applyFill="1" applyBorder="1" applyAlignment="1">
      <alignment horizontal="center" vertical="center" readingOrder="1"/>
    </xf>
    <xf numFmtId="0" fontId="6" fillId="7" borderId="1" xfId="0" applyFont="1" applyFill="1" applyBorder="1" applyAlignment="1">
      <alignment horizontal="center" vertical="center" readingOrder="1"/>
    </xf>
    <xf numFmtId="0" fontId="6" fillId="7" borderId="1" xfId="0" applyNumberFormat="1" applyFont="1" applyFill="1" applyBorder="1" applyAlignment="1">
      <alignment horizontal="center" vertical="center" readingOrder="1"/>
    </xf>
    <xf numFmtId="0" fontId="6" fillId="7" borderId="1" xfId="0" quotePrefix="1" applyFont="1" applyFill="1" applyBorder="1" applyAlignment="1">
      <alignment horizontal="left" vertical="center" readingOrder="1"/>
    </xf>
    <xf numFmtId="0" fontId="6" fillId="7" borderId="1" xfId="0" quotePrefix="1" applyFont="1" applyFill="1" applyBorder="1" applyAlignment="1">
      <alignment horizontal="center" vertical="center" readingOrder="1"/>
    </xf>
    <xf numFmtId="0" fontId="2" fillId="7" borderId="9" xfId="0" applyFont="1" applyFill="1" applyBorder="1" applyAlignment="1">
      <alignment horizontal="center" vertical="center"/>
    </xf>
    <xf numFmtId="49" fontId="6" fillId="7" borderId="10" xfId="0" applyNumberFormat="1" applyFont="1" applyFill="1" applyBorder="1" applyAlignment="1">
      <alignment horizontal="center" vertical="center" readingOrder="1"/>
    </xf>
    <xf numFmtId="0" fontId="6" fillId="7" borderId="10" xfId="0" applyFont="1" applyFill="1" applyBorder="1" applyAlignment="1">
      <alignment horizontal="center" vertical="center" readingOrder="1"/>
    </xf>
    <xf numFmtId="0" fontId="6" fillId="7" borderId="10" xfId="0" applyNumberFormat="1" applyFont="1" applyFill="1" applyBorder="1" applyAlignment="1">
      <alignment horizontal="center" vertical="center" readingOrder="1"/>
    </xf>
    <xf numFmtId="0" fontId="6" fillId="7" borderId="10" xfId="0" quotePrefix="1" applyFont="1" applyFill="1" applyBorder="1" applyAlignment="1">
      <alignment horizontal="left" vertical="center" readingOrder="1"/>
    </xf>
    <xf numFmtId="0" fontId="6" fillId="7" borderId="10" xfId="0" quotePrefix="1" applyFont="1" applyFill="1" applyBorder="1" applyAlignment="1">
      <alignment horizontal="center" vertical="center" readingOrder="1"/>
    </xf>
    <xf numFmtId="0" fontId="6" fillId="7" borderId="23" xfId="0" quotePrefix="1" applyFont="1" applyFill="1" applyBorder="1" applyAlignment="1">
      <alignment horizontal="center" vertical="center" readingOrder="1"/>
    </xf>
    <xf numFmtId="0" fontId="6" fillId="6" borderId="23" xfId="0" quotePrefix="1" applyFont="1" applyFill="1" applyBorder="1" applyAlignment="1">
      <alignment horizontal="center" vertical="center" readingOrder="1"/>
    </xf>
    <xf numFmtId="0" fontId="6" fillId="13" borderId="23" xfId="0" quotePrefix="1" applyFont="1" applyFill="1" applyBorder="1" applyAlignment="1">
      <alignment horizontal="center" vertical="center" readingOrder="1"/>
    </xf>
    <xf numFmtId="0" fontId="2" fillId="18" borderId="4" xfId="0" applyFont="1" applyFill="1" applyBorder="1" applyAlignment="1">
      <alignment horizontal="center" vertical="center"/>
    </xf>
    <xf numFmtId="49" fontId="6" fillId="18" borderId="5" xfId="0" applyNumberFormat="1" applyFont="1" applyFill="1" applyBorder="1" applyAlignment="1">
      <alignment horizontal="center" vertical="center" readingOrder="1"/>
    </xf>
    <xf numFmtId="0" fontId="6" fillId="18" borderId="5" xfId="0" applyFont="1" applyFill="1" applyBorder="1" applyAlignment="1">
      <alignment horizontal="center" vertical="center" readingOrder="1"/>
    </xf>
    <xf numFmtId="0" fontId="6" fillId="18" borderId="5" xfId="0" applyNumberFormat="1" applyFont="1" applyFill="1" applyBorder="1" applyAlignment="1">
      <alignment horizontal="center" vertical="center" readingOrder="1"/>
    </xf>
    <xf numFmtId="0" fontId="6" fillId="18" borderId="5" xfId="0" quotePrefix="1" applyFont="1" applyFill="1" applyBorder="1" applyAlignment="1">
      <alignment horizontal="left" vertical="center" readingOrder="1"/>
    </xf>
    <xf numFmtId="0" fontId="6" fillId="18" borderId="5" xfId="0" quotePrefix="1" applyFont="1" applyFill="1" applyBorder="1" applyAlignment="1">
      <alignment horizontal="center" vertical="center" readingOrder="1"/>
    </xf>
    <xf numFmtId="0" fontId="2" fillId="18" borderId="9" xfId="0" applyFont="1" applyFill="1" applyBorder="1" applyAlignment="1">
      <alignment horizontal="center" vertical="center"/>
    </xf>
    <xf numFmtId="49" fontId="6" fillId="18" borderId="10" xfId="0" applyNumberFormat="1" applyFont="1" applyFill="1" applyBorder="1" applyAlignment="1">
      <alignment horizontal="center" vertical="center" readingOrder="1"/>
    </xf>
    <xf numFmtId="0" fontId="6" fillId="18" borderId="10" xfId="0" applyFont="1" applyFill="1" applyBorder="1" applyAlignment="1">
      <alignment horizontal="center" vertical="center" readingOrder="1"/>
    </xf>
    <xf numFmtId="0" fontId="6" fillId="18" borderId="10" xfId="0" applyNumberFormat="1" applyFont="1" applyFill="1" applyBorder="1" applyAlignment="1">
      <alignment horizontal="center" vertical="center" readingOrder="1"/>
    </xf>
    <xf numFmtId="0" fontId="6" fillId="18" borderId="10" xfId="0" quotePrefix="1" applyFont="1" applyFill="1" applyBorder="1" applyAlignment="1">
      <alignment horizontal="left" vertical="center" readingOrder="1"/>
    </xf>
    <xf numFmtId="0" fontId="6" fillId="18" borderId="10" xfId="0" quotePrefix="1" applyFont="1" applyFill="1" applyBorder="1" applyAlignment="1">
      <alignment horizontal="center" vertical="center" readingOrder="1"/>
    </xf>
    <xf numFmtId="0" fontId="2" fillId="18" borderId="7" xfId="0" applyFont="1" applyFill="1" applyBorder="1" applyAlignment="1">
      <alignment horizontal="center" vertical="center"/>
    </xf>
    <xf numFmtId="49" fontId="6" fillId="18" borderId="1" xfId="0" applyNumberFormat="1" applyFont="1" applyFill="1" applyBorder="1" applyAlignment="1">
      <alignment horizontal="center" vertical="center" readingOrder="1"/>
    </xf>
    <xf numFmtId="0" fontId="6" fillId="18" borderId="1" xfId="0" applyFont="1" applyFill="1" applyBorder="1" applyAlignment="1">
      <alignment horizontal="center" vertical="center" readingOrder="1"/>
    </xf>
    <xf numFmtId="0" fontId="6" fillId="18" borderId="1" xfId="0" applyNumberFormat="1" applyFont="1" applyFill="1" applyBorder="1" applyAlignment="1">
      <alignment horizontal="center" vertical="center" readingOrder="1"/>
    </xf>
    <xf numFmtId="0" fontId="6" fillId="18" borderId="1" xfId="0" quotePrefix="1" applyFont="1" applyFill="1" applyBorder="1" applyAlignment="1">
      <alignment horizontal="left" vertical="center" readingOrder="1"/>
    </xf>
    <xf numFmtId="0" fontId="6" fillId="18" borderId="1" xfId="0" quotePrefix="1" applyFont="1" applyFill="1" applyBorder="1" applyAlignment="1">
      <alignment horizontal="center" vertical="center" readingOrder="1"/>
    </xf>
    <xf numFmtId="0" fontId="6" fillId="18" borderId="23" xfId="0" quotePrefix="1" applyFont="1" applyFill="1" applyBorder="1" applyAlignment="1">
      <alignment horizontal="center" vertical="center" readingOrder="1"/>
    </xf>
    <xf numFmtId="0" fontId="6" fillId="3" borderId="23" xfId="0" quotePrefix="1" applyFont="1" applyFill="1" applyBorder="1" applyAlignment="1">
      <alignment horizontal="center" vertical="center" readingOrder="1"/>
    </xf>
    <xf numFmtId="0" fontId="6" fillId="4" borderId="23" xfId="0" quotePrefix="1" applyFont="1" applyFill="1" applyBorder="1" applyAlignment="1">
      <alignment horizontal="center" vertical="center" readingOrder="1"/>
    </xf>
    <xf numFmtId="0" fontId="2" fillId="19" borderId="4" xfId="0" applyFont="1" applyFill="1" applyBorder="1" applyAlignment="1">
      <alignment horizontal="center" vertical="center"/>
    </xf>
    <xf numFmtId="49" fontId="6" fillId="19" borderId="5" xfId="0" applyNumberFormat="1" applyFont="1" applyFill="1" applyBorder="1" applyAlignment="1">
      <alignment horizontal="center" vertical="center" readingOrder="1"/>
    </xf>
    <xf numFmtId="0" fontId="6" fillId="19" borderId="5" xfId="0" applyFont="1" applyFill="1" applyBorder="1" applyAlignment="1">
      <alignment horizontal="center" vertical="center" readingOrder="1"/>
    </xf>
    <xf numFmtId="0" fontId="6" fillId="19" borderId="5" xfId="0" applyNumberFormat="1" applyFont="1" applyFill="1" applyBorder="1" applyAlignment="1">
      <alignment horizontal="center" vertical="center" readingOrder="1"/>
    </xf>
    <xf numFmtId="0" fontId="6" fillId="19" borderId="5" xfId="0" quotePrefix="1" applyFont="1" applyFill="1" applyBorder="1" applyAlignment="1">
      <alignment horizontal="left" vertical="center" readingOrder="1"/>
    </xf>
    <xf numFmtId="0" fontId="6" fillId="19" borderId="5" xfId="0" quotePrefix="1" applyFont="1" applyFill="1" applyBorder="1" applyAlignment="1">
      <alignment horizontal="center" vertical="center" readingOrder="1"/>
    </xf>
    <xf numFmtId="0" fontId="2" fillId="19" borderId="7" xfId="0" applyFont="1" applyFill="1" applyBorder="1" applyAlignment="1">
      <alignment horizontal="center" vertical="center"/>
    </xf>
    <xf numFmtId="49" fontId="6" fillId="19" borderId="1" xfId="0" applyNumberFormat="1" applyFont="1" applyFill="1" applyBorder="1" applyAlignment="1">
      <alignment horizontal="center" vertical="center" readingOrder="1"/>
    </xf>
    <xf numFmtId="0" fontId="6" fillId="19" borderId="1" xfId="0" applyFont="1" applyFill="1" applyBorder="1" applyAlignment="1">
      <alignment horizontal="center" vertical="center" readingOrder="1"/>
    </xf>
    <xf numFmtId="0" fontId="6" fillId="19" borderId="1" xfId="0" applyNumberFormat="1" applyFont="1" applyFill="1" applyBorder="1" applyAlignment="1">
      <alignment horizontal="center" vertical="center" readingOrder="1"/>
    </xf>
    <xf numFmtId="0" fontId="6" fillId="19" borderId="1" xfId="0" quotePrefix="1" applyFont="1" applyFill="1" applyBorder="1" applyAlignment="1">
      <alignment horizontal="left" vertical="center" readingOrder="1"/>
    </xf>
    <xf numFmtId="0" fontId="6" fillId="19" borderId="1" xfId="0" quotePrefix="1" applyFont="1" applyFill="1" applyBorder="1" applyAlignment="1">
      <alignment horizontal="center" vertical="center" readingOrder="1"/>
    </xf>
    <xf numFmtId="0" fontId="2" fillId="19" borderId="9" xfId="0" applyFont="1" applyFill="1" applyBorder="1" applyAlignment="1">
      <alignment horizontal="center" vertical="center"/>
    </xf>
    <xf numFmtId="49" fontId="6" fillId="19" borderId="10" xfId="0" applyNumberFormat="1" applyFont="1" applyFill="1" applyBorder="1" applyAlignment="1">
      <alignment horizontal="center" vertical="center" readingOrder="1"/>
    </xf>
    <xf numFmtId="0" fontId="6" fillId="19" borderId="10" xfId="0" applyFont="1" applyFill="1" applyBorder="1" applyAlignment="1">
      <alignment horizontal="center" vertical="center" readingOrder="1"/>
    </xf>
    <xf numFmtId="0" fontId="6" fillId="19" borderId="10" xfId="0" applyNumberFormat="1" applyFont="1" applyFill="1" applyBorder="1" applyAlignment="1">
      <alignment horizontal="center" vertical="center" readingOrder="1"/>
    </xf>
    <xf numFmtId="0" fontId="6" fillId="19" borderId="10" xfId="0" quotePrefix="1" applyFont="1" applyFill="1" applyBorder="1" applyAlignment="1">
      <alignment horizontal="left" vertical="center" readingOrder="1"/>
    </xf>
    <xf numFmtId="0" fontId="6" fillId="19" borderId="10" xfId="0" quotePrefix="1" applyFont="1" applyFill="1" applyBorder="1" applyAlignment="1">
      <alignment horizontal="center" vertical="center" readingOrder="1"/>
    </xf>
    <xf numFmtId="0" fontId="2" fillId="4" borderId="32" xfId="0" applyFont="1" applyFill="1" applyBorder="1" applyAlignment="1">
      <alignment horizontal="center" vertical="center"/>
    </xf>
    <xf numFmtId="49" fontId="6" fillId="4" borderId="11" xfId="0" applyNumberFormat="1" applyFont="1" applyFill="1" applyBorder="1" applyAlignment="1">
      <alignment horizontal="center" vertical="center" readingOrder="1"/>
    </xf>
    <xf numFmtId="49" fontId="2" fillId="0" borderId="0" xfId="0" applyNumberFormat="1" applyFont="1" applyAlignment="1">
      <alignment horizontal="center"/>
    </xf>
    <xf numFmtId="49" fontId="2" fillId="11" borderId="5" xfId="0" applyNumberFormat="1" applyFont="1" applyFill="1" applyBorder="1" applyAlignment="1">
      <alignment horizontal="center"/>
    </xf>
    <xf numFmtId="49" fontId="2" fillId="11" borderId="1" xfId="0" applyNumberFormat="1" applyFont="1" applyFill="1" applyBorder="1" applyAlignment="1">
      <alignment horizontal="center"/>
    </xf>
    <xf numFmtId="49" fontId="2" fillId="11" borderId="23" xfId="0" applyNumberFormat="1" applyFont="1" applyFill="1" applyBorder="1" applyAlignment="1">
      <alignment horizontal="center"/>
    </xf>
    <xf numFmtId="49" fontId="2" fillId="16" borderId="19" xfId="0" applyNumberFormat="1" applyFont="1" applyFill="1" applyBorder="1" applyAlignment="1">
      <alignment horizontal="center"/>
    </xf>
    <xf numFmtId="49" fontId="2" fillId="8" borderId="5" xfId="0" applyNumberFormat="1" applyFont="1" applyFill="1" applyBorder="1" applyAlignment="1">
      <alignment horizontal="center"/>
    </xf>
    <xf numFmtId="49" fontId="2" fillId="8" borderId="1" xfId="0" applyNumberFormat="1" applyFont="1" applyFill="1" applyBorder="1" applyAlignment="1">
      <alignment horizontal="center"/>
    </xf>
    <xf numFmtId="49" fontId="2" fillId="14" borderId="5" xfId="0" applyNumberFormat="1" applyFont="1" applyFill="1" applyBorder="1" applyAlignment="1">
      <alignment horizontal="center"/>
    </xf>
    <xf numFmtId="49" fontId="2" fillId="14" borderId="1" xfId="0" applyNumberFormat="1" applyFont="1" applyFill="1" applyBorder="1" applyAlignment="1">
      <alignment horizontal="center"/>
    </xf>
    <xf numFmtId="49" fontId="2" fillId="5" borderId="1" xfId="0" applyNumberFormat="1" applyFont="1" applyFill="1" applyBorder="1" applyAlignment="1">
      <alignment horizontal="center"/>
    </xf>
    <xf numFmtId="49" fontId="2" fillId="5" borderId="23" xfId="0" applyNumberFormat="1" applyFont="1" applyFill="1" applyBorder="1" applyAlignment="1">
      <alignment horizontal="center"/>
    </xf>
    <xf numFmtId="49" fontId="2" fillId="7" borderId="5" xfId="0" applyNumberFormat="1" applyFont="1" applyFill="1" applyBorder="1" applyAlignment="1">
      <alignment horizontal="center"/>
    </xf>
    <xf numFmtId="49" fontId="2" fillId="7" borderId="1" xfId="0" applyNumberFormat="1" applyFont="1" applyFill="1" applyBorder="1" applyAlignment="1">
      <alignment horizontal="center"/>
    </xf>
    <xf numFmtId="49" fontId="2" fillId="6" borderId="5" xfId="0" applyNumberFormat="1" applyFont="1" applyFill="1" applyBorder="1" applyAlignment="1">
      <alignment horizontal="center"/>
    </xf>
    <xf numFmtId="49" fontId="2" fillId="6" borderId="1" xfId="0" applyNumberFormat="1" applyFont="1" applyFill="1" applyBorder="1" applyAlignment="1">
      <alignment horizontal="center"/>
    </xf>
    <xf numFmtId="49" fontId="2" fillId="13" borderId="5" xfId="0" applyNumberFormat="1" applyFont="1" applyFill="1" applyBorder="1" applyAlignment="1">
      <alignment horizontal="center"/>
    </xf>
    <xf numFmtId="49" fontId="2" fillId="13" borderId="1" xfId="0" applyNumberFormat="1" applyFont="1" applyFill="1" applyBorder="1" applyAlignment="1">
      <alignment horizontal="center"/>
    </xf>
    <xf numFmtId="49" fontId="2" fillId="17" borderId="5" xfId="0" applyNumberFormat="1" applyFont="1" applyFill="1" applyBorder="1" applyAlignment="1">
      <alignment horizontal="center"/>
    </xf>
    <xf numFmtId="49" fontId="2" fillId="17" borderId="1" xfId="0" applyNumberFormat="1" applyFont="1" applyFill="1" applyBorder="1" applyAlignment="1">
      <alignment horizontal="center"/>
    </xf>
    <xf numFmtId="49" fontId="2" fillId="18" borderId="5" xfId="0" applyNumberFormat="1" applyFont="1" applyFill="1" applyBorder="1" applyAlignment="1">
      <alignment horizontal="center"/>
    </xf>
    <xf numFmtId="49" fontId="2" fillId="18" borderId="1" xfId="0" applyNumberFormat="1" applyFont="1" applyFill="1" applyBorder="1" applyAlignment="1">
      <alignment horizontal="center"/>
    </xf>
    <xf numFmtId="49" fontId="2" fillId="3" borderId="5" xfId="0" applyNumberFormat="1" applyFont="1" applyFill="1" applyBorder="1" applyAlignment="1">
      <alignment horizontal="center"/>
    </xf>
    <xf numFmtId="49" fontId="2" fillId="3" borderId="1" xfId="0" applyNumberFormat="1" applyFont="1" applyFill="1" applyBorder="1" applyAlignment="1">
      <alignment horizontal="center"/>
    </xf>
    <xf numFmtId="49" fontId="2" fillId="4" borderId="5" xfId="0" applyNumberFormat="1" applyFont="1" applyFill="1" applyBorder="1" applyAlignment="1">
      <alignment horizontal="center"/>
    </xf>
    <xf numFmtId="49" fontId="2" fillId="4" borderId="1" xfId="0" applyNumberFormat="1" applyFont="1" applyFill="1" applyBorder="1" applyAlignment="1">
      <alignment horizontal="center"/>
    </xf>
    <xf numFmtId="49" fontId="2" fillId="19" borderId="5" xfId="0" applyNumberFormat="1" applyFont="1" applyFill="1" applyBorder="1" applyAlignment="1">
      <alignment horizontal="center"/>
    </xf>
    <xf numFmtId="49" fontId="2" fillId="19" borderId="1" xfId="0" applyNumberFormat="1" applyFont="1" applyFill="1" applyBorder="1" applyAlignment="1">
      <alignment horizontal="center"/>
    </xf>
    <xf numFmtId="49" fontId="2" fillId="19" borderId="10" xfId="0" applyNumberFormat="1" applyFont="1" applyFill="1" applyBorder="1" applyAlignment="1">
      <alignment horizontal="center"/>
    </xf>
    <xf numFmtId="49" fontId="2" fillId="4" borderId="10" xfId="0" applyNumberFormat="1" applyFont="1" applyFill="1" applyBorder="1" applyAlignment="1">
      <alignment horizontal="center"/>
    </xf>
    <xf numFmtId="49" fontId="2" fillId="16" borderId="5" xfId="0" applyNumberFormat="1" applyFont="1" applyFill="1" applyBorder="1" applyAlignment="1">
      <alignment horizontal="center"/>
    </xf>
    <xf numFmtId="49" fontId="2" fillId="16" borderId="1" xfId="0" applyNumberFormat="1" applyFont="1" applyFill="1" applyBorder="1" applyAlignment="1">
      <alignment horizontal="center"/>
    </xf>
    <xf numFmtId="49" fontId="2" fillId="16" borderId="23" xfId="0" applyNumberFormat="1" applyFont="1" applyFill="1" applyBorder="1" applyAlignment="1">
      <alignment horizontal="center"/>
    </xf>
    <xf numFmtId="0" fontId="2" fillId="0" borderId="0" xfId="0" applyFont="1" applyFill="1" applyBorder="1" applyProtection="1">
      <protection locked="0"/>
    </xf>
    <xf numFmtId="0" fontId="4" fillId="0" borderId="0" xfId="0" applyFont="1" applyFill="1" applyBorder="1" applyAlignment="1" applyProtection="1">
      <alignment horizontal="center" vertical="center"/>
      <protection locked="0"/>
    </xf>
    <xf numFmtId="9" fontId="9" fillId="0" borderId="0" xfId="1" applyFont="1" applyFill="1" applyBorder="1" applyAlignment="1" applyProtection="1">
      <alignment horizontal="center" vertical="center"/>
      <protection locked="0"/>
    </xf>
    <xf numFmtId="9" fontId="2" fillId="0" borderId="0" xfId="1" applyFont="1" applyFill="1" applyBorder="1" applyAlignment="1">
      <alignment horizontal="center" vertical="center"/>
    </xf>
    <xf numFmtId="0" fontId="2" fillId="0" borderId="0" xfId="0" applyFont="1" applyFill="1" applyBorder="1" applyAlignment="1">
      <alignment horizontal="center" vertical="center"/>
    </xf>
    <xf numFmtId="0" fontId="2" fillId="0" borderId="0" xfId="0" applyFont="1" applyFill="1" applyBorder="1"/>
    <xf numFmtId="49" fontId="2" fillId="9" borderId="0" xfId="0" applyNumberFormat="1" applyFont="1" applyFill="1" applyBorder="1" applyAlignment="1">
      <alignment horizontal="center"/>
    </xf>
    <xf numFmtId="0" fontId="2" fillId="11" borderId="5" xfId="0" applyFont="1" applyFill="1" applyBorder="1" applyAlignment="1">
      <alignment horizontal="center"/>
    </xf>
    <xf numFmtId="0" fontId="2" fillId="11" borderId="1" xfId="0" applyFont="1" applyFill="1" applyBorder="1" applyAlignment="1">
      <alignment horizontal="center"/>
    </xf>
    <xf numFmtId="0" fontId="2" fillId="11" borderId="23" xfId="0" applyFont="1" applyFill="1" applyBorder="1" applyAlignment="1">
      <alignment horizontal="center"/>
    </xf>
    <xf numFmtId="0" fontId="2" fillId="16" borderId="5" xfId="0" applyFont="1" applyFill="1" applyBorder="1" applyAlignment="1">
      <alignment horizontal="center"/>
    </xf>
    <xf numFmtId="0" fontId="2" fillId="16" borderId="1" xfId="0" applyFont="1" applyFill="1" applyBorder="1" applyAlignment="1">
      <alignment horizontal="center"/>
    </xf>
    <xf numFmtId="0" fontId="2" fillId="16" borderId="23" xfId="0" applyFont="1" applyFill="1" applyBorder="1" applyAlignment="1">
      <alignment horizontal="center"/>
    </xf>
    <xf numFmtId="0" fontId="2" fillId="16" borderId="19" xfId="0" applyFont="1" applyFill="1" applyBorder="1" applyAlignment="1">
      <alignment horizontal="center"/>
    </xf>
    <xf numFmtId="0" fontId="2" fillId="8" borderId="5" xfId="0" applyFont="1" applyFill="1" applyBorder="1" applyAlignment="1">
      <alignment horizontal="center"/>
    </xf>
    <xf numFmtId="0" fontId="2" fillId="8" borderId="1" xfId="0" applyFont="1" applyFill="1" applyBorder="1" applyAlignment="1">
      <alignment horizontal="center"/>
    </xf>
    <xf numFmtId="0" fontId="2" fillId="14" borderId="5" xfId="0" applyFont="1" applyFill="1" applyBorder="1" applyAlignment="1">
      <alignment horizontal="center"/>
    </xf>
    <xf numFmtId="0" fontId="2" fillId="14" borderId="1" xfId="0" applyFont="1" applyFill="1" applyBorder="1" applyAlignment="1">
      <alignment horizontal="center"/>
    </xf>
    <xf numFmtId="0" fontId="2" fillId="5" borderId="1" xfId="0" applyFont="1" applyFill="1" applyBorder="1" applyAlignment="1">
      <alignment horizontal="center"/>
    </xf>
    <xf numFmtId="0" fontId="2" fillId="5" borderId="23" xfId="0" applyFont="1" applyFill="1" applyBorder="1" applyAlignment="1">
      <alignment horizontal="center"/>
    </xf>
    <xf numFmtId="0" fontId="2" fillId="7" borderId="5" xfId="0" applyFont="1" applyFill="1" applyBorder="1" applyAlignment="1">
      <alignment horizontal="center"/>
    </xf>
    <xf numFmtId="0" fontId="2" fillId="7" borderId="1" xfId="0" applyFont="1" applyFill="1" applyBorder="1" applyAlignment="1">
      <alignment horizontal="center"/>
    </xf>
    <xf numFmtId="0" fontId="2" fillId="6" borderId="5" xfId="0" applyFont="1" applyFill="1" applyBorder="1" applyAlignment="1">
      <alignment horizontal="center"/>
    </xf>
    <xf numFmtId="0" fontId="2" fillId="6" borderId="1" xfId="0" applyFont="1" applyFill="1" applyBorder="1" applyAlignment="1">
      <alignment horizontal="center"/>
    </xf>
    <xf numFmtId="0" fontId="2" fillId="13" borderId="5" xfId="0" applyFont="1" applyFill="1" applyBorder="1" applyAlignment="1">
      <alignment horizontal="center"/>
    </xf>
    <xf numFmtId="0" fontId="2" fillId="13" borderId="1" xfId="0" applyFont="1" applyFill="1" applyBorder="1" applyAlignment="1">
      <alignment horizontal="center"/>
    </xf>
    <xf numFmtId="0" fontId="2" fillId="17" borderId="5" xfId="0" applyFont="1" applyFill="1" applyBorder="1" applyAlignment="1">
      <alignment horizontal="center"/>
    </xf>
    <xf numFmtId="0" fontId="2" fillId="17" borderId="1" xfId="0" applyFont="1" applyFill="1" applyBorder="1" applyAlignment="1">
      <alignment horizontal="center"/>
    </xf>
    <xf numFmtId="0" fontId="2" fillId="18" borderId="5" xfId="0" applyFont="1" applyFill="1" applyBorder="1" applyAlignment="1">
      <alignment horizontal="center"/>
    </xf>
    <xf numFmtId="0" fontId="2" fillId="18" borderId="1" xfId="0" applyFont="1" applyFill="1" applyBorder="1" applyAlignment="1">
      <alignment horizontal="center"/>
    </xf>
    <xf numFmtId="0" fontId="2" fillId="3" borderId="5" xfId="0" applyFont="1" applyFill="1" applyBorder="1" applyAlignment="1">
      <alignment horizontal="center"/>
    </xf>
    <xf numFmtId="0" fontId="2" fillId="3" borderId="1" xfId="0" applyFont="1" applyFill="1" applyBorder="1" applyAlignment="1">
      <alignment horizontal="center"/>
    </xf>
    <xf numFmtId="0" fontId="2" fillId="4" borderId="5" xfId="0" applyFont="1" applyFill="1" applyBorder="1" applyAlignment="1">
      <alignment horizontal="center"/>
    </xf>
    <xf numFmtId="0" fontId="2" fillId="4" borderId="1" xfId="0" applyFont="1" applyFill="1" applyBorder="1" applyAlignment="1">
      <alignment horizontal="center"/>
    </xf>
    <xf numFmtId="0" fontId="2" fillId="19" borderId="5" xfId="0" applyFont="1" applyFill="1" applyBorder="1" applyAlignment="1">
      <alignment horizontal="center"/>
    </xf>
    <xf numFmtId="0" fontId="2" fillId="19" borderId="1" xfId="0" applyFont="1" applyFill="1" applyBorder="1" applyAlignment="1">
      <alignment horizontal="center"/>
    </xf>
    <xf numFmtId="0" fontId="2" fillId="19" borderId="10" xfId="0" applyFont="1" applyFill="1" applyBorder="1" applyAlignment="1">
      <alignment horizontal="center"/>
    </xf>
    <xf numFmtId="0" fontId="2" fillId="4" borderId="10" xfId="0" applyFont="1" applyFill="1" applyBorder="1" applyAlignment="1">
      <alignment horizontal="center"/>
    </xf>
    <xf numFmtId="0" fontId="6" fillId="15" borderId="19" xfId="0" quotePrefix="1" applyFont="1" applyFill="1" applyBorder="1" applyAlignment="1">
      <alignment horizontal="center" vertical="center" readingOrder="1"/>
    </xf>
    <xf numFmtId="0" fontId="2" fillId="11" borderId="5" xfId="0" applyFont="1" applyFill="1" applyBorder="1" applyAlignment="1">
      <alignment horizontal="center" vertical="center"/>
    </xf>
    <xf numFmtId="0" fontId="2" fillId="11" borderId="1" xfId="0" applyFont="1" applyFill="1" applyBorder="1" applyAlignment="1">
      <alignment horizontal="center" vertical="center"/>
    </xf>
    <xf numFmtId="0" fontId="2" fillId="11" borderId="23" xfId="0" applyFont="1" applyFill="1" applyBorder="1" applyAlignment="1">
      <alignment horizontal="center" vertical="center"/>
    </xf>
    <xf numFmtId="0" fontId="2" fillId="16" borderId="5" xfId="0" applyFont="1" applyFill="1" applyBorder="1" applyAlignment="1">
      <alignment horizontal="center" vertical="center"/>
    </xf>
    <xf numFmtId="0" fontId="2" fillId="16" borderId="1" xfId="0" applyFont="1" applyFill="1" applyBorder="1" applyAlignment="1">
      <alignment horizontal="center" vertical="center"/>
    </xf>
    <xf numFmtId="0" fontId="2" fillId="16" borderId="23" xfId="0" applyFont="1" applyFill="1" applyBorder="1" applyAlignment="1">
      <alignment horizontal="center" vertical="center"/>
    </xf>
    <xf numFmtId="0" fontId="2" fillId="16" borderId="19" xfId="0" applyFont="1" applyFill="1" applyBorder="1" applyAlignment="1">
      <alignment horizontal="center" vertical="center"/>
    </xf>
    <xf numFmtId="0" fontId="2" fillId="8" borderId="5" xfId="0" applyFont="1" applyFill="1" applyBorder="1" applyAlignment="1">
      <alignment horizontal="center" vertical="center"/>
    </xf>
    <xf numFmtId="0" fontId="2" fillId="8" borderId="1" xfId="0" applyFont="1" applyFill="1" applyBorder="1" applyAlignment="1">
      <alignment horizontal="center" vertical="center"/>
    </xf>
    <xf numFmtId="0" fontId="2" fillId="8" borderId="23" xfId="0" applyFont="1" applyFill="1" applyBorder="1" applyAlignment="1">
      <alignment horizontal="center" vertical="center"/>
    </xf>
    <xf numFmtId="0" fontId="2" fillId="14" borderId="5" xfId="0" applyFont="1" applyFill="1" applyBorder="1" applyAlignment="1">
      <alignment horizontal="center" vertical="center"/>
    </xf>
    <xf numFmtId="0" fontId="2" fillId="14" borderId="23" xfId="0" applyFont="1" applyFill="1" applyBorder="1" applyAlignment="1">
      <alignment horizontal="center" vertical="center"/>
    </xf>
    <xf numFmtId="0" fontId="2" fillId="14" borderId="19" xfId="0" applyFont="1" applyFill="1" applyBorder="1" applyAlignment="1">
      <alignment horizontal="center" vertical="center"/>
    </xf>
    <xf numFmtId="0" fontId="9" fillId="8" borderId="5" xfId="0" applyFont="1" applyFill="1" applyBorder="1" applyAlignment="1">
      <alignment horizontal="center" vertical="center"/>
    </xf>
    <xf numFmtId="0" fontId="2" fillId="5" borderId="5" xfId="0" applyFont="1" applyFill="1" applyBorder="1" applyAlignment="1">
      <alignment horizontal="center" vertical="center"/>
    </xf>
    <xf numFmtId="0" fontId="2" fillId="5" borderId="1" xfId="0" applyFont="1" applyFill="1" applyBorder="1" applyAlignment="1">
      <alignment horizontal="center" vertical="center"/>
    </xf>
    <xf numFmtId="0" fontId="2" fillId="5" borderId="23" xfId="0" applyFont="1" applyFill="1" applyBorder="1" applyAlignment="1">
      <alignment horizontal="center" vertical="center"/>
    </xf>
    <xf numFmtId="0" fontId="2" fillId="18" borderId="19" xfId="0" applyFont="1" applyFill="1" applyBorder="1" applyAlignment="1">
      <alignment horizontal="center" vertical="center"/>
    </xf>
    <xf numFmtId="0" fontId="6" fillId="0" borderId="0" xfId="0" quotePrefix="1" applyFont="1" applyFill="1" applyBorder="1" applyAlignment="1">
      <alignment horizontal="center" readingOrder="1"/>
    </xf>
    <xf numFmtId="0" fontId="2" fillId="11" borderId="19" xfId="0" applyFont="1" applyFill="1" applyBorder="1" applyAlignment="1">
      <alignment horizontal="center" vertical="center"/>
    </xf>
    <xf numFmtId="2" fontId="6" fillId="8" borderId="4" xfId="0" quotePrefix="1" applyNumberFormat="1" applyFont="1" applyFill="1" applyBorder="1" applyAlignment="1">
      <alignment horizontal="center" vertical="center"/>
    </xf>
    <xf numFmtId="2" fontId="6" fillId="8" borderId="5" xfId="0" quotePrefix="1" applyNumberFormat="1" applyFont="1" applyFill="1" applyBorder="1" applyAlignment="1">
      <alignment horizontal="center" vertical="center"/>
    </xf>
    <xf numFmtId="2" fontId="6" fillId="8" borderId="7" xfId="0" quotePrefix="1" applyNumberFormat="1" applyFont="1" applyFill="1" applyBorder="1" applyAlignment="1">
      <alignment horizontal="center" vertical="center"/>
    </xf>
    <xf numFmtId="2" fontId="6" fillId="8" borderId="1" xfId="0" quotePrefix="1" applyNumberFormat="1" applyFont="1" applyFill="1" applyBorder="1" applyAlignment="1">
      <alignment horizontal="center" vertical="center"/>
    </xf>
    <xf numFmtId="2" fontId="6" fillId="15" borderId="4" xfId="0" quotePrefix="1" applyNumberFormat="1" applyFont="1" applyFill="1" applyBorder="1" applyAlignment="1">
      <alignment horizontal="center" vertical="center"/>
    </xf>
    <xf numFmtId="2" fontId="6" fillId="15" borderId="5" xfId="0" quotePrefix="1" applyNumberFormat="1" applyFont="1" applyFill="1" applyBorder="1" applyAlignment="1">
      <alignment horizontal="center" vertical="center"/>
    </xf>
    <xf numFmtId="2" fontId="6" fillId="15" borderId="5" xfId="0" quotePrefix="1" applyNumberFormat="1" applyFont="1" applyFill="1" applyBorder="1" applyAlignment="1">
      <alignment horizontal="center" vertical="center" readingOrder="1"/>
    </xf>
    <xf numFmtId="2" fontId="6" fillId="15" borderId="6" xfId="0" quotePrefix="1" applyNumberFormat="1" applyFont="1" applyFill="1" applyBorder="1" applyAlignment="1">
      <alignment horizontal="center" vertical="center"/>
    </xf>
    <xf numFmtId="2" fontId="6" fillId="15" borderId="7" xfId="0" quotePrefix="1" applyNumberFormat="1" applyFont="1" applyFill="1" applyBorder="1" applyAlignment="1">
      <alignment horizontal="center" vertical="center"/>
    </xf>
    <xf numFmtId="2" fontId="6" fillId="15" borderId="1" xfId="0" quotePrefix="1" applyNumberFormat="1" applyFont="1" applyFill="1" applyBorder="1" applyAlignment="1">
      <alignment horizontal="center" vertical="center"/>
    </xf>
    <xf numFmtId="2" fontId="6" fillId="15" borderId="1" xfId="0" quotePrefix="1" applyNumberFormat="1" applyFont="1" applyFill="1" applyBorder="1" applyAlignment="1">
      <alignment horizontal="center" vertical="center" readingOrder="1"/>
    </xf>
    <xf numFmtId="2" fontId="6" fillId="15" borderId="8" xfId="0" quotePrefix="1" applyNumberFormat="1" applyFont="1" applyFill="1" applyBorder="1" applyAlignment="1">
      <alignment horizontal="center" vertical="center"/>
    </xf>
    <xf numFmtId="1" fontId="6" fillId="15" borderId="1" xfId="0" quotePrefix="1" applyNumberFormat="1" applyFont="1" applyFill="1" applyBorder="1" applyAlignment="1">
      <alignment horizontal="center" vertical="center"/>
    </xf>
    <xf numFmtId="2" fontId="6" fillId="15" borderId="9" xfId="0" quotePrefix="1" applyNumberFormat="1" applyFont="1" applyFill="1" applyBorder="1" applyAlignment="1">
      <alignment horizontal="center" vertical="center"/>
    </xf>
    <xf numFmtId="2" fontId="6" fillId="15" borderId="10" xfId="0" quotePrefix="1" applyNumberFormat="1" applyFont="1" applyFill="1" applyBorder="1" applyAlignment="1">
      <alignment horizontal="center" vertical="center"/>
    </xf>
    <xf numFmtId="2" fontId="6" fillId="15" borderId="22" xfId="0" quotePrefix="1" applyNumberFormat="1" applyFont="1" applyFill="1" applyBorder="1" applyAlignment="1">
      <alignment horizontal="center" vertical="center"/>
    </xf>
    <xf numFmtId="2" fontId="6" fillId="15" borderId="23" xfId="0" quotePrefix="1" applyNumberFormat="1" applyFont="1" applyFill="1" applyBorder="1" applyAlignment="1">
      <alignment horizontal="center" vertical="center"/>
    </xf>
    <xf numFmtId="1" fontId="6" fillId="15" borderId="23" xfId="0" quotePrefix="1" applyNumberFormat="1" applyFont="1" applyFill="1" applyBorder="1" applyAlignment="1">
      <alignment horizontal="center" vertical="center"/>
    </xf>
    <xf numFmtId="1" fontId="6" fillId="2" borderId="5" xfId="0" quotePrefix="1" applyNumberFormat="1" applyFont="1" applyFill="1" applyBorder="1" applyAlignment="1">
      <alignment horizontal="center" vertical="center"/>
    </xf>
    <xf numFmtId="2" fontId="6" fillId="4" borderId="4" xfId="0" quotePrefix="1" applyNumberFormat="1" applyFont="1" applyFill="1" applyBorder="1" applyAlignment="1">
      <alignment horizontal="center" vertical="center"/>
    </xf>
    <xf numFmtId="2" fontId="6" fillId="4" borderId="5" xfId="0" quotePrefix="1" applyNumberFormat="1" applyFont="1" applyFill="1" applyBorder="1" applyAlignment="1">
      <alignment horizontal="center" vertical="center"/>
    </xf>
    <xf numFmtId="2" fontId="6" fillId="4" borderId="7" xfId="0" quotePrefix="1" applyNumberFormat="1" applyFont="1" applyFill="1" applyBorder="1" applyAlignment="1">
      <alignment horizontal="center" vertical="center"/>
    </xf>
    <xf numFmtId="2" fontId="6" fillId="4" borderId="1" xfId="0" quotePrefix="1" applyNumberFormat="1" applyFont="1" applyFill="1" applyBorder="1" applyAlignment="1">
      <alignment horizontal="center" vertical="center"/>
    </xf>
    <xf numFmtId="2" fontId="6" fillId="4" borderId="9" xfId="0" quotePrefix="1" applyNumberFormat="1" applyFont="1" applyFill="1" applyBorder="1" applyAlignment="1">
      <alignment horizontal="center" vertical="center"/>
    </xf>
    <xf numFmtId="2" fontId="6" fillId="4" borderId="10" xfId="0" quotePrefix="1" applyNumberFormat="1" applyFont="1" applyFill="1" applyBorder="1" applyAlignment="1">
      <alignment horizontal="center" vertical="center"/>
    </xf>
    <xf numFmtId="2" fontId="6" fillId="2" borderId="22" xfId="0" quotePrefix="1" applyNumberFormat="1" applyFont="1" applyFill="1" applyBorder="1" applyAlignment="1">
      <alignment horizontal="center" vertical="center"/>
    </xf>
    <xf numFmtId="2" fontId="6" fillId="2" borderId="23" xfId="0" quotePrefix="1" applyNumberFormat="1" applyFont="1" applyFill="1" applyBorder="1" applyAlignment="1">
      <alignment horizontal="center" vertical="center"/>
    </xf>
    <xf numFmtId="1" fontId="6" fillId="2" borderId="23" xfId="0" quotePrefix="1" applyNumberFormat="1" applyFont="1" applyFill="1" applyBorder="1" applyAlignment="1">
      <alignment horizontal="center" vertical="center"/>
    </xf>
    <xf numFmtId="2" fontId="3" fillId="15" borderId="5" xfId="0" applyNumberFormat="1" applyFont="1" applyFill="1" applyBorder="1" applyAlignment="1">
      <alignment horizontal="center" vertical="center"/>
    </xf>
    <xf numFmtId="2" fontId="3" fillId="15" borderId="6" xfId="0" applyNumberFormat="1" applyFont="1" applyFill="1" applyBorder="1" applyAlignment="1">
      <alignment horizontal="center" vertical="center"/>
    </xf>
    <xf numFmtId="0" fontId="3" fillId="15" borderId="1" xfId="0" applyFont="1" applyFill="1" applyBorder="1" applyAlignment="1">
      <alignment horizontal="center" vertical="center"/>
    </xf>
    <xf numFmtId="2" fontId="3" fillId="15" borderId="1" xfId="0" applyNumberFormat="1" applyFont="1" applyFill="1" applyBorder="1" applyAlignment="1">
      <alignment horizontal="center" vertical="center"/>
    </xf>
    <xf numFmtId="2" fontId="3" fillId="15" borderId="8" xfId="0" applyNumberFormat="1" applyFont="1" applyFill="1" applyBorder="1" applyAlignment="1">
      <alignment horizontal="center" vertical="center"/>
    </xf>
    <xf numFmtId="1" fontId="3" fillId="15" borderId="1" xfId="0" applyNumberFormat="1" applyFont="1" applyFill="1" applyBorder="1" applyAlignment="1">
      <alignment horizontal="center" vertical="center"/>
    </xf>
    <xf numFmtId="1" fontId="3" fillId="15" borderId="10" xfId="0" applyNumberFormat="1" applyFont="1" applyFill="1" applyBorder="1" applyAlignment="1">
      <alignment horizontal="center" vertical="center"/>
    </xf>
    <xf numFmtId="2" fontId="6" fillId="2" borderId="18" xfId="0" quotePrefix="1" applyNumberFormat="1" applyFont="1" applyFill="1" applyBorder="1" applyAlignment="1">
      <alignment horizontal="center" vertical="center"/>
    </xf>
    <xf numFmtId="2" fontId="6" fillId="2" borderId="19" xfId="0" quotePrefix="1" applyNumberFormat="1" applyFont="1" applyFill="1" applyBorder="1" applyAlignment="1">
      <alignment horizontal="center" vertical="center"/>
    </xf>
    <xf numFmtId="1" fontId="3" fillId="2" borderId="19" xfId="0" applyNumberFormat="1" applyFont="1" applyFill="1" applyBorder="1" applyAlignment="1">
      <alignment horizontal="center" vertical="center"/>
    </xf>
    <xf numFmtId="1" fontId="3" fillId="15" borderId="5" xfId="0" applyNumberFormat="1" applyFont="1" applyFill="1" applyBorder="1" applyAlignment="1">
      <alignment horizontal="center" vertical="center"/>
    </xf>
    <xf numFmtId="2" fontId="6" fillId="15" borderId="10" xfId="0" quotePrefix="1" applyNumberFormat="1" applyFont="1" applyFill="1" applyBorder="1" applyAlignment="1">
      <alignment horizontal="center" vertical="center" readingOrder="1"/>
    </xf>
    <xf numFmtId="2" fontId="6" fillId="15" borderId="23" xfId="0" quotePrefix="1" applyNumberFormat="1" applyFont="1" applyFill="1" applyBorder="1" applyAlignment="1">
      <alignment horizontal="center" vertical="center" readingOrder="1"/>
    </xf>
    <xf numFmtId="2" fontId="6" fillId="15" borderId="25" xfId="0" quotePrefix="1" applyNumberFormat="1" applyFont="1" applyFill="1" applyBorder="1" applyAlignment="1">
      <alignment horizontal="center" vertical="center"/>
    </xf>
    <xf numFmtId="0" fontId="6" fillId="15" borderId="5" xfId="0" quotePrefix="1" applyFont="1" applyFill="1" applyBorder="1" applyAlignment="1">
      <alignment horizontal="center" vertical="center"/>
    </xf>
    <xf numFmtId="0" fontId="6" fillId="15" borderId="1" xfId="0" quotePrefix="1" applyFont="1" applyFill="1" applyBorder="1" applyAlignment="1">
      <alignment horizontal="center" vertical="center"/>
    </xf>
    <xf numFmtId="2" fontId="6" fillId="14" borderId="4" xfId="0" quotePrefix="1" applyNumberFormat="1" applyFont="1" applyFill="1" applyBorder="1" applyAlignment="1">
      <alignment horizontal="center" vertical="center"/>
    </xf>
    <xf numFmtId="2" fontId="6" fillId="14" borderId="5" xfId="0" quotePrefix="1" applyNumberFormat="1" applyFont="1" applyFill="1" applyBorder="1" applyAlignment="1">
      <alignment horizontal="center" vertical="center"/>
    </xf>
    <xf numFmtId="2" fontId="6" fillId="14" borderId="7" xfId="0" quotePrefix="1" applyNumberFormat="1" applyFont="1" applyFill="1" applyBorder="1" applyAlignment="1">
      <alignment horizontal="center" vertical="center"/>
    </xf>
    <xf numFmtId="2" fontId="6" fillId="14" borderId="1" xfId="0" quotePrefix="1" applyNumberFormat="1" applyFont="1" applyFill="1" applyBorder="1" applyAlignment="1">
      <alignment horizontal="center" vertical="center"/>
    </xf>
    <xf numFmtId="0" fontId="6" fillId="2" borderId="5" xfId="0" quotePrefix="1" applyFont="1" applyFill="1" applyBorder="1" applyAlignment="1">
      <alignment horizontal="center" vertical="center"/>
    </xf>
    <xf numFmtId="0" fontId="6" fillId="2" borderId="1" xfId="0" quotePrefix="1" applyFont="1" applyFill="1" applyBorder="1" applyAlignment="1">
      <alignment horizontal="center" vertical="center"/>
    </xf>
    <xf numFmtId="0" fontId="6" fillId="2" borderId="23" xfId="0" quotePrefix="1" applyFont="1" applyFill="1" applyBorder="1" applyAlignment="1">
      <alignment horizontal="center" vertical="center"/>
    </xf>
    <xf numFmtId="0" fontId="6" fillId="15" borderId="23" xfId="0" quotePrefix="1" applyFont="1" applyFill="1" applyBorder="1" applyAlignment="1">
      <alignment horizontal="center" vertical="center"/>
    </xf>
    <xf numFmtId="0" fontId="6" fillId="2" borderId="19" xfId="0" quotePrefix="1" applyFont="1" applyFill="1" applyBorder="1" applyAlignment="1">
      <alignment horizontal="center" vertical="center"/>
    </xf>
    <xf numFmtId="2" fontId="6" fillId="16" borderId="4" xfId="0" quotePrefix="1" applyNumberFormat="1" applyFont="1" applyFill="1" applyBorder="1" applyAlignment="1">
      <alignment horizontal="center" vertical="center"/>
    </xf>
    <xf numFmtId="2" fontId="6" fillId="16" borderId="5" xfId="0" quotePrefix="1" applyNumberFormat="1" applyFont="1" applyFill="1" applyBorder="1" applyAlignment="1">
      <alignment horizontal="center" vertical="center"/>
    </xf>
    <xf numFmtId="2" fontId="6" fillId="16" borderId="7" xfId="0" quotePrefix="1" applyNumberFormat="1" applyFont="1" applyFill="1" applyBorder="1" applyAlignment="1">
      <alignment horizontal="center" vertical="center"/>
    </xf>
    <xf numFmtId="2" fontId="6" fillId="16" borderId="1" xfId="0" quotePrefix="1" applyNumberFormat="1" applyFont="1" applyFill="1" applyBorder="1" applyAlignment="1">
      <alignment horizontal="center" vertical="center"/>
    </xf>
    <xf numFmtId="2" fontId="6" fillId="11" borderId="4" xfId="0" quotePrefix="1" applyNumberFormat="1" applyFont="1" applyFill="1" applyBorder="1" applyAlignment="1">
      <alignment horizontal="center" vertical="center"/>
    </xf>
    <xf numFmtId="2" fontId="6" fillId="11" borderId="5" xfId="0" quotePrefix="1" applyNumberFormat="1" applyFont="1" applyFill="1" applyBorder="1" applyAlignment="1">
      <alignment horizontal="center" vertical="center"/>
    </xf>
    <xf numFmtId="2" fontId="6" fillId="11" borderId="7" xfId="0" quotePrefix="1" applyNumberFormat="1" applyFont="1" applyFill="1" applyBorder="1" applyAlignment="1">
      <alignment horizontal="center" vertical="center"/>
    </xf>
    <xf numFmtId="2" fontId="6" fillId="11" borderId="1" xfId="0" quotePrefix="1" applyNumberFormat="1" applyFont="1" applyFill="1" applyBorder="1" applyAlignment="1">
      <alignment horizontal="center" vertical="center"/>
    </xf>
    <xf numFmtId="2" fontId="6" fillId="11" borderId="22" xfId="0" quotePrefix="1" applyNumberFormat="1" applyFont="1" applyFill="1" applyBorder="1" applyAlignment="1">
      <alignment horizontal="center" vertical="center"/>
    </xf>
    <xf numFmtId="2" fontId="6" fillId="11" borderId="23" xfId="0" quotePrefix="1" applyNumberFormat="1" applyFont="1" applyFill="1" applyBorder="1" applyAlignment="1">
      <alignment horizontal="center" vertical="center"/>
    </xf>
    <xf numFmtId="2" fontId="6" fillId="16" borderId="22" xfId="0" quotePrefix="1" applyNumberFormat="1" applyFont="1" applyFill="1" applyBorder="1" applyAlignment="1">
      <alignment horizontal="center" vertical="center"/>
    </xf>
    <xf numFmtId="2" fontId="6" fillId="16" borderId="23" xfId="0" quotePrefix="1" applyNumberFormat="1" applyFont="1" applyFill="1" applyBorder="1" applyAlignment="1">
      <alignment horizontal="center" vertical="center"/>
    </xf>
    <xf numFmtId="2" fontId="6" fillId="16" borderId="18" xfId="0" quotePrefix="1" applyNumberFormat="1" applyFont="1" applyFill="1" applyBorder="1" applyAlignment="1">
      <alignment horizontal="center" vertical="center"/>
    </xf>
    <xf numFmtId="2" fontId="6" fillId="16" borderId="19" xfId="0" quotePrefix="1" applyNumberFormat="1" applyFont="1" applyFill="1" applyBorder="1" applyAlignment="1">
      <alignment horizontal="center" vertical="center"/>
    </xf>
    <xf numFmtId="2" fontId="6" fillId="3" borderId="4" xfId="0" quotePrefix="1" applyNumberFormat="1" applyFont="1" applyFill="1" applyBorder="1" applyAlignment="1">
      <alignment horizontal="center" vertical="center"/>
    </xf>
    <xf numFmtId="2" fontId="6" fillId="3" borderId="5" xfId="0" quotePrefix="1" applyNumberFormat="1" applyFont="1" applyFill="1" applyBorder="1" applyAlignment="1">
      <alignment horizontal="center" vertical="center"/>
    </xf>
    <xf numFmtId="2" fontId="6" fillId="3" borderId="7" xfId="0" quotePrefix="1" applyNumberFormat="1" applyFont="1" applyFill="1" applyBorder="1" applyAlignment="1">
      <alignment horizontal="center" vertical="center"/>
    </xf>
    <xf numFmtId="2" fontId="6" fillId="3" borderId="1" xfId="0" quotePrefix="1" applyNumberFormat="1" applyFont="1" applyFill="1" applyBorder="1" applyAlignment="1">
      <alignment horizontal="center" vertical="center"/>
    </xf>
    <xf numFmtId="2" fontId="6" fillId="8" borderId="22" xfId="0" quotePrefix="1" applyNumberFormat="1" applyFont="1" applyFill="1" applyBorder="1" applyAlignment="1">
      <alignment horizontal="center" vertical="center"/>
    </xf>
    <xf numFmtId="2" fontId="6" fillId="8" borderId="23" xfId="0" quotePrefix="1" applyNumberFormat="1" applyFont="1" applyFill="1" applyBorder="1" applyAlignment="1">
      <alignment horizontal="center" vertical="center"/>
    </xf>
    <xf numFmtId="2" fontId="6" fillId="17" borderId="4" xfId="0" quotePrefix="1" applyNumberFormat="1" applyFont="1" applyFill="1" applyBorder="1" applyAlignment="1">
      <alignment horizontal="center" vertical="center"/>
    </xf>
    <xf numFmtId="2" fontId="6" fillId="17" borderId="5" xfId="0" quotePrefix="1" applyNumberFormat="1" applyFont="1" applyFill="1" applyBorder="1" applyAlignment="1">
      <alignment horizontal="center" vertical="center"/>
    </xf>
    <xf numFmtId="2" fontId="6" fillId="17" borderId="7" xfId="0" quotePrefix="1" applyNumberFormat="1" applyFont="1" applyFill="1" applyBorder="1" applyAlignment="1">
      <alignment horizontal="center" vertical="center"/>
    </xf>
    <xf numFmtId="2" fontId="6" fillId="17" borderId="1" xfId="0" quotePrefix="1" applyNumberFormat="1" applyFont="1" applyFill="1" applyBorder="1" applyAlignment="1">
      <alignment horizontal="center" vertical="center"/>
    </xf>
    <xf numFmtId="2" fontId="6" fillId="14" borderId="22" xfId="0" quotePrefix="1" applyNumberFormat="1" applyFont="1" applyFill="1" applyBorder="1" applyAlignment="1">
      <alignment horizontal="center" vertical="center"/>
    </xf>
    <xf numFmtId="2" fontId="6" fillId="14" borderId="23" xfId="0" quotePrefix="1" applyNumberFormat="1" applyFont="1" applyFill="1" applyBorder="1" applyAlignment="1">
      <alignment horizontal="center" vertical="center"/>
    </xf>
    <xf numFmtId="2" fontId="6" fillId="14" borderId="18" xfId="0" quotePrefix="1" applyNumberFormat="1" applyFont="1" applyFill="1" applyBorder="1" applyAlignment="1">
      <alignment horizontal="center" vertical="center"/>
    </xf>
    <xf numFmtId="2" fontId="6" fillId="14" borderId="19" xfId="0" quotePrefix="1" applyNumberFormat="1" applyFont="1" applyFill="1" applyBorder="1" applyAlignment="1">
      <alignment horizontal="center" vertical="center"/>
    </xf>
    <xf numFmtId="2" fontId="6" fillId="5" borderId="4" xfId="0" quotePrefix="1" applyNumberFormat="1" applyFont="1" applyFill="1" applyBorder="1" applyAlignment="1">
      <alignment horizontal="center" vertical="center"/>
    </xf>
    <xf numFmtId="2" fontId="6" fillId="5" borderId="5" xfId="0" quotePrefix="1" applyNumberFormat="1" applyFont="1" applyFill="1" applyBorder="1" applyAlignment="1">
      <alignment horizontal="center" vertical="center"/>
    </xf>
    <xf numFmtId="2" fontId="6" fillId="5" borderId="7" xfId="0" quotePrefix="1" applyNumberFormat="1" applyFont="1" applyFill="1" applyBorder="1" applyAlignment="1">
      <alignment horizontal="center" vertical="center"/>
    </xf>
    <xf numFmtId="2" fontId="6" fillId="5" borderId="1" xfId="0" quotePrefix="1" applyNumberFormat="1" applyFont="1" applyFill="1" applyBorder="1" applyAlignment="1">
      <alignment horizontal="center" vertical="center"/>
    </xf>
    <xf numFmtId="2" fontId="6" fillId="5" borderId="22" xfId="0" quotePrefix="1" applyNumberFormat="1" applyFont="1" applyFill="1" applyBorder="1" applyAlignment="1">
      <alignment horizontal="center" vertical="center"/>
    </xf>
    <xf numFmtId="2" fontId="6" fillId="5" borderId="23" xfId="0" quotePrefix="1" applyNumberFormat="1" applyFont="1" applyFill="1" applyBorder="1" applyAlignment="1">
      <alignment horizontal="center" vertical="center"/>
    </xf>
    <xf numFmtId="2" fontId="6" fillId="7" borderId="4" xfId="0" quotePrefix="1" applyNumberFormat="1" applyFont="1" applyFill="1" applyBorder="1" applyAlignment="1">
      <alignment horizontal="center" vertical="center"/>
    </xf>
    <xf numFmtId="2" fontId="6" fillId="7" borderId="5" xfId="0" quotePrefix="1" applyNumberFormat="1" applyFont="1" applyFill="1" applyBorder="1" applyAlignment="1">
      <alignment horizontal="center" vertical="center"/>
    </xf>
    <xf numFmtId="2" fontId="6" fillId="7" borderId="7" xfId="0" quotePrefix="1" applyNumberFormat="1" applyFont="1" applyFill="1" applyBorder="1" applyAlignment="1">
      <alignment horizontal="center" vertical="center"/>
    </xf>
    <xf numFmtId="2" fontId="6" fillId="7" borderId="1" xfId="0" quotePrefix="1" applyNumberFormat="1" applyFont="1" applyFill="1" applyBorder="1" applyAlignment="1">
      <alignment horizontal="center" vertical="center"/>
    </xf>
    <xf numFmtId="2" fontId="6" fillId="7" borderId="22" xfId="0" quotePrefix="1" applyNumberFormat="1" applyFont="1" applyFill="1" applyBorder="1" applyAlignment="1">
      <alignment horizontal="center" vertical="center"/>
    </xf>
    <xf numFmtId="2" fontId="6" fillId="7" borderId="23" xfId="0" quotePrefix="1" applyNumberFormat="1" applyFont="1" applyFill="1" applyBorder="1" applyAlignment="1">
      <alignment horizontal="center" vertical="center"/>
    </xf>
    <xf numFmtId="2" fontId="6" fillId="6" borderId="4" xfId="0" quotePrefix="1" applyNumberFormat="1" applyFont="1" applyFill="1" applyBorder="1" applyAlignment="1">
      <alignment horizontal="center" vertical="center"/>
    </xf>
    <xf numFmtId="2" fontId="6" fillId="6" borderId="5" xfId="0" quotePrefix="1" applyNumberFormat="1" applyFont="1" applyFill="1" applyBorder="1" applyAlignment="1">
      <alignment horizontal="center" vertical="center"/>
    </xf>
    <xf numFmtId="2" fontId="6" fillId="6" borderId="7" xfId="0" quotePrefix="1" applyNumberFormat="1" applyFont="1" applyFill="1" applyBorder="1" applyAlignment="1">
      <alignment horizontal="center" vertical="center"/>
    </xf>
    <xf numFmtId="2" fontId="6" fillId="6" borderId="1" xfId="0" quotePrefix="1" applyNumberFormat="1" applyFont="1" applyFill="1" applyBorder="1" applyAlignment="1">
      <alignment horizontal="center" vertical="center"/>
    </xf>
    <xf numFmtId="2" fontId="6" fillId="6" borderId="22" xfId="0" quotePrefix="1" applyNumberFormat="1" applyFont="1" applyFill="1" applyBorder="1" applyAlignment="1">
      <alignment horizontal="center" vertical="center"/>
    </xf>
    <xf numFmtId="2" fontId="6" fillId="6" borderId="23" xfId="0" quotePrefix="1" applyNumberFormat="1" applyFont="1" applyFill="1" applyBorder="1" applyAlignment="1">
      <alignment horizontal="center" vertical="center"/>
    </xf>
    <xf numFmtId="2" fontId="6" fillId="13" borderId="4" xfId="0" quotePrefix="1" applyNumberFormat="1" applyFont="1" applyFill="1" applyBorder="1" applyAlignment="1">
      <alignment horizontal="center" vertical="center"/>
    </xf>
    <xf numFmtId="2" fontId="6" fillId="13" borderId="5" xfId="0" quotePrefix="1" applyNumberFormat="1" applyFont="1" applyFill="1" applyBorder="1" applyAlignment="1">
      <alignment horizontal="center" vertical="center"/>
    </xf>
    <xf numFmtId="2" fontId="6" fillId="13" borderId="7" xfId="0" quotePrefix="1" applyNumberFormat="1" applyFont="1" applyFill="1" applyBorder="1" applyAlignment="1">
      <alignment horizontal="center" vertical="center"/>
    </xf>
    <xf numFmtId="2" fontId="6" fillId="13" borderId="1" xfId="0" quotePrefix="1" applyNumberFormat="1" applyFont="1" applyFill="1" applyBorder="1" applyAlignment="1">
      <alignment horizontal="center" vertical="center"/>
    </xf>
    <xf numFmtId="2" fontId="6" fillId="13" borderId="22" xfId="0" quotePrefix="1" applyNumberFormat="1" applyFont="1" applyFill="1" applyBorder="1" applyAlignment="1">
      <alignment horizontal="center" vertical="center"/>
    </xf>
    <xf numFmtId="2" fontId="6" fillId="13" borderId="23" xfId="0" quotePrefix="1" applyNumberFormat="1" applyFont="1" applyFill="1" applyBorder="1" applyAlignment="1">
      <alignment horizontal="center" vertical="center"/>
    </xf>
    <xf numFmtId="2" fontId="6" fillId="18" borderId="4" xfId="0" quotePrefix="1" applyNumberFormat="1" applyFont="1" applyFill="1" applyBorder="1" applyAlignment="1">
      <alignment horizontal="center" vertical="center"/>
    </xf>
    <xf numFmtId="2" fontId="6" fillId="18" borderId="5" xfId="0" quotePrefix="1" applyNumberFormat="1" applyFont="1" applyFill="1" applyBorder="1" applyAlignment="1">
      <alignment horizontal="center" vertical="center"/>
    </xf>
    <xf numFmtId="2" fontId="6" fillId="18" borderId="22" xfId="0" quotePrefix="1" applyNumberFormat="1" applyFont="1" applyFill="1" applyBorder="1" applyAlignment="1">
      <alignment horizontal="center" vertical="center"/>
    </xf>
    <xf numFmtId="2" fontId="6" fillId="18" borderId="23" xfId="0" quotePrefix="1" applyNumberFormat="1" applyFont="1" applyFill="1" applyBorder="1" applyAlignment="1">
      <alignment horizontal="center" vertical="center"/>
    </xf>
    <xf numFmtId="2" fontId="6" fillId="3" borderId="22" xfId="0" quotePrefix="1" applyNumberFormat="1" applyFont="1" applyFill="1" applyBorder="1" applyAlignment="1">
      <alignment horizontal="center" vertical="center"/>
    </xf>
    <xf numFmtId="2" fontId="6" fillId="3" borderId="23" xfId="0" quotePrefix="1" applyNumberFormat="1" applyFont="1" applyFill="1" applyBorder="1" applyAlignment="1">
      <alignment horizontal="center" vertical="center"/>
    </xf>
    <xf numFmtId="2" fontId="6" fillId="4" borderId="22" xfId="0" quotePrefix="1" applyNumberFormat="1" applyFont="1" applyFill="1" applyBorder="1" applyAlignment="1">
      <alignment horizontal="center" vertical="center"/>
    </xf>
    <xf numFmtId="2" fontId="6" fillId="4" borderId="23" xfId="0" quotePrefix="1" applyNumberFormat="1" applyFont="1" applyFill="1" applyBorder="1" applyAlignment="1">
      <alignment horizontal="center" vertical="center"/>
    </xf>
    <xf numFmtId="2" fontId="6" fillId="19" borderId="4" xfId="0" quotePrefix="1" applyNumberFormat="1" applyFont="1" applyFill="1" applyBorder="1" applyAlignment="1">
      <alignment horizontal="center" vertical="center"/>
    </xf>
    <xf numFmtId="2" fontId="6" fillId="19" borderId="5" xfId="0" quotePrefix="1" applyNumberFormat="1" applyFont="1" applyFill="1" applyBorder="1" applyAlignment="1">
      <alignment horizontal="center" vertical="center"/>
    </xf>
    <xf numFmtId="2" fontId="6" fillId="19" borderId="7" xfId="0" quotePrefix="1" applyNumberFormat="1" applyFont="1" applyFill="1" applyBorder="1" applyAlignment="1">
      <alignment horizontal="center" vertical="center"/>
    </xf>
    <xf numFmtId="2" fontId="6" fillId="19" borderId="1" xfId="0" quotePrefix="1" applyNumberFormat="1" applyFont="1" applyFill="1" applyBorder="1" applyAlignment="1">
      <alignment horizontal="center" vertical="center"/>
    </xf>
    <xf numFmtId="2" fontId="6" fillId="19" borderId="9" xfId="0" quotePrefix="1" applyNumberFormat="1" applyFont="1" applyFill="1" applyBorder="1" applyAlignment="1">
      <alignment horizontal="center" vertical="center"/>
    </xf>
    <xf numFmtId="2" fontId="6" fillId="19" borderId="10" xfId="0" quotePrefix="1" applyNumberFormat="1" applyFont="1" applyFill="1" applyBorder="1" applyAlignment="1">
      <alignment horizontal="center" vertical="center"/>
    </xf>
    <xf numFmtId="49" fontId="6" fillId="0" borderId="0" xfId="0" quotePrefix="1" applyNumberFormat="1" applyFont="1" applyFill="1" applyBorder="1" applyAlignment="1">
      <alignment horizontal="center" vertical="center" readingOrder="1"/>
    </xf>
    <xf numFmtId="49" fontId="6" fillId="15" borderId="1" xfId="0" quotePrefix="1" applyNumberFormat="1" applyFont="1" applyFill="1" applyBorder="1" applyAlignment="1">
      <alignment horizontal="center" vertical="center" readingOrder="1"/>
    </xf>
    <xf numFmtId="49" fontId="6" fillId="2" borderId="5" xfId="0" quotePrefix="1" applyNumberFormat="1" applyFont="1" applyFill="1" applyBorder="1" applyAlignment="1">
      <alignment horizontal="center" vertical="center" readingOrder="1"/>
    </xf>
    <xf numFmtId="49" fontId="6" fillId="2" borderId="1" xfId="0" quotePrefix="1" applyNumberFormat="1" applyFont="1" applyFill="1" applyBorder="1" applyAlignment="1">
      <alignment horizontal="center" vertical="center" readingOrder="1"/>
    </xf>
    <xf numFmtId="49" fontId="6" fillId="2" borderId="23" xfId="0" quotePrefix="1" applyNumberFormat="1" applyFont="1" applyFill="1" applyBorder="1" applyAlignment="1">
      <alignment horizontal="center" vertical="center" readingOrder="1"/>
    </xf>
    <xf numFmtId="49" fontId="6" fillId="15" borderId="5" xfId="0" quotePrefix="1" applyNumberFormat="1" applyFont="1" applyFill="1" applyBorder="1" applyAlignment="1">
      <alignment horizontal="center" vertical="center" readingOrder="1"/>
    </xf>
    <xf numFmtId="49" fontId="6" fillId="15" borderId="23" xfId="0" quotePrefix="1" applyNumberFormat="1" applyFont="1" applyFill="1" applyBorder="1" applyAlignment="1">
      <alignment horizontal="center" vertical="center" readingOrder="1"/>
    </xf>
    <xf numFmtId="49" fontId="6" fillId="2" borderId="19" xfId="0" quotePrefix="1" applyNumberFormat="1" applyFont="1" applyFill="1" applyBorder="1" applyAlignment="1">
      <alignment horizontal="center" vertical="center" readingOrder="1"/>
    </xf>
    <xf numFmtId="49" fontId="2" fillId="13" borderId="10" xfId="0" applyNumberFormat="1" applyFont="1" applyFill="1" applyBorder="1" applyAlignment="1">
      <alignment horizontal="center"/>
    </xf>
    <xf numFmtId="49" fontId="7" fillId="9" borderId="3" xfId="0" applyNumberFormat="1" applyFont="1" applyFill="1" applyBorder="1" applyAlignment="1">
      <alignment horizontal="center" readingOrder="1"/>
    </xf>
    <xf numFmtId="49" fontId="7" fillId="9" borderId="21" xfId="0" applyNumberFormat="1" applyFont="1" applyFill="1" applyBorder="1" applyAlignment="1">
      <alignment horizontal="center" readingOrder="1"/>
    </xf>
    <xf numFmtId="0" fontId="2" fillId="14" borderId="1" xfId="0" quotePrefix="1" applyFont="1" applyFill="1" applyBorder="1" applyAlignment="1">
      <alignment horizontal="center" vertical="center"/>
    </xf>
    <xf numFmtId="0" fontId="2" fillId="13" borderId="1" xfId="0" quotePrefix="1" applyFont="1" applyFill="1" applyBorder="1" applyAlignment="1">
      <alignment horizontal="center" vertical="center"/>
    </xf>
    <xf numFmtId="49" fontId="2" fillId="0" borderId="0" xfId="0" applyNumberFormat="1" applyFont="1" applyAlignment="1">
      <alignment horizontal="center" vertical="center"/>
    </xf>
    <xf numFmtId="49" fontId="2" fillId="11" borderId="5" xfId="0" quotePrefix="1" applyNumberFormat="1" applyFont="1" applyFill="1" applyBorder="1" applyAlignment="1">
      <alignment horizontal="center" vertical="center"/>
    </xf>
    <xf numFmtId="49" fontId="2" fillId="11" borderId="1" xfId="0" quotePrefix="1" applyNumberFormat="1" applyFont="1" applyFill="1" applyBorder="1" applyAlignment="1">
      <alignment horizontal="center" vertical="center"/>
    </xf>
    <xf numFmtId="49" fontId="2" fillId="11" borderId="1" xfId="0" applyNumberFormat="1" applyFont="1" applyFill="1" applyBorder="1" applyAlignment="1">
      <alignment horizontal="center" vertical="center"/>
    </xf>
    <xf numFmtId="49" fontId="2" fillId="11" borderId="23" xfId="0" applyNumberFormat="1" applyFont="1" applyFill="1" applyBorder="1" applyAlignment="1">
      <alignment horizontal="center" vertical="center"/>
    </xf>
    <xf numFmtId="49" fontId="2" fillId="16" borderId="1" xfId="0" quotePrefix="1" applyNumberFormat="1" applyFont="1" applyFill="1" applyBorder="1" applyAlignment="1">
      <alignment horizontal="center" vertical="center"/>
    </xf>
    <xf numFmtId="49" fontId="2" fillId="16" borderId="1" xfId="0" applyNumberFormat="1" applyFont="1" applyFill="1" applyBorder="1" applyAlignment="1">
      <alignment horizontal="center" vertical="center"/>
    </xf>
    <xf numFmtId="49" fontId="2" fillId="16" borderId="23" xfId="0" quotePrefix="1" applyNumberFormat="1" applyFont="1" applyFill="1" applyBorder="1" applyAlignment="1">
      <alignment horizontal="center" vertical="center"/>
    </xf>
    <xf numFmtId="49" fontId="2" fillId="11" borderId="5" xfId="0" applyNumberFormat="1" applyFont="1" applyFill="1" applyBorder="1" applyAlignment="1">
      <alignment horizontal="center" vertical="center"/>
    </xf>
    <xf numFmtId="49" fontId="2" fillId="16" borderId="19" xfId="0" applyNumberFormat="1" applyFont="1" applyFill="1" applyBorder="1" applyAlignment="1">
      <alignment horizontal="center" vertical="center"/>
    </xf>
    <xf numFmtId="49" fontId="2" fillId="8" borderId="5" xfId="0" applyNumberFormat="1" applyFont="1" applyFill="1" applyBorder="1" applyAlignment="1">
      <alignment horizontal="center" vertical="center"/>
    </xf>
    <xf numFmtId="49" fontId="2" fillId="8" borderId="1" xfId="0" applyNumberFormat="1" applyFont="1" applyFill="1" applyBorder="1" applyAlignment="1">
      <alignment horizontal="center" vertical="center"/>
    </xf>
    <xf numFmtId="49" fontId="2" fillId="8" borderId="1" xfId="0" quotePrefix="1" applyNumberFormat="1" applyFont="1" applyFill="1" applyBorder="1" applyAlignment="1">
      <alignment horizontal="center" vertical="center"/>
    </xf>
    <xf numFmtId="49" fontId="2" fillId="8" borderId="23" xfId="0" applyNumberFormat="1" applyFont="1" applyFill="1" applyBorder="1" applyAlignment="1">
      <alignment horizontal="center" vertical="center"/>
    </xf>
    <xf numFmtId="49" fontId="2" fillId="14" borderId="5" xfId="0" applyNumberFormat="1" applyFont="1" applyFill="1" applyBorder="1" applyAlignment="1">
      <alignment horizontal="center" vertical="center"/>
    </xf>
    <xf numFmtId="49" fontId="2" fillId="14" borderId="1" xfId="0" applyNumberFormat="1" applyFont="1" applyFill="1" applyBorder="1" applyAlignment="1">
      <alignment horizontal="center" vertical="center"/>
    </xf>
    <xf numFmtId="49" fontId="2" fillId="14" borderId="23" xfId="0" quotePrefix="1" applyNumberFormat="1" applyFont="1" applyFill="1" applyBorder="1" applyAlignment="1">
      <alignment horizontal="center" vertical="center"/>
    </xf>
    <xf numFmtId="49" fontId="2" fillId="14" borderId="19" xfId="0" applyNumberFormat="1" applyFont="1" applyFill="1" applyBorder="1" applyAlignment="1">
      <alignment horizontal="center" vertical="center"/>
    </xf>
    <xf numFmtId="49" fontId="2" fillId="14" borderId="23" xfId="0" applyNumberFormat="1" applyFont="1" applyFill="1" applyBorder="1" applyAlignment="1">
      <alignment horizontal="center" vertical="center"/>
    </xf>
    <xf numFmtId="49" fontId="2" fillId="8" borderId="5" xfId="0" quotePrefix="1" applyNumberFormat="1" applyFont="1" applyFill="1" applyBorder="1" applyAlignment="1">
      <alignment horizontal="center" vertical="center"/>
    </xf>
    <xf numFmtId="49" fontId="2" fillId="5" borderId="5" xfId="0" applyNumberFormat="1" applyFont="1" applyFill="1" applyBorder="1" applyAlignment="1">
      <alignment horizontal="center" vertical="center"/>
    </xf>
    <xf numFmtId="49" fontId="2" fillId="5" borderId="1" xfId="0" applyNumberFormat="1" applyFont="1" applyFill="1" applyBorder="1" applyAlignment="1">
      <alignment horizontal="center" vertical="center"/>
    </xf>
    <xf numFmtId="49" fontId="2" fillId="5" borderId="23" xfId="0" applyNumberFormat="1" applyFont="1" applyFill="1" applyBorder="1" applyAlignment="1">
      <alignment horizontal="center" vertical="center"/>
    </xf>
    <xf numFmtId="49" fontId="2" fillId="7" borderId="5" xfId="0" quotePrefix="1" applyNumberFormat="1" applyFont="1" applyFill="1" applyBorder="1" applyAlignment="1">
      <alignment horizontal="center" vertical="center"/>
    </xf>
    <xf numFmtId="49" fontId="2" fillId="7" borderId="1" xfId="0" quotePrefix="1" applyNumberFormat="1" applyFont="1" applyFill="1" applyBorder="1" applyAlignment="1">
      <alignment horizontal="center" vertical="center"/>
    </xf>
    <xf numFmtId="49" fontId="2" fillId="7" borderId="1" xfId="0" applyNumberFormat="1" applyFont="1" applyFill="1" applyBorder="1" applyAlignment="1">
      <alignment horizontal="center" vertical="center"/>
    </xf>
    <xf numFmtId="49" fontId="2" fillId="7" borderId="23" xfId="0" applyNumberFormat="1" applyFont="1" applyFill="1" applyBorder="1" applyAlignment="1">
      <alignment horizontal="center" vertical="center"/>
    </xf>
    <xf numFmtId="49" fontId="2" fillId="6" borderId="5" xfId="0" applyNumberFormat="1" applyFont="1" applyFill="1" applyBorder="1" applyAlignment="1">
      <alignment horizontal="center" vertical="center"/>
    </xf>
    <xf numFmtId="49" fontId="2" fillId="6" borderId="1" xfId="0" applyNumberFormat="1" applyFont="1" applyFill="1" applyBorder="1" applyAlignment="1">
      <alignment horizontal="center" vertical="center"/>
    </xf>
    <xf numFmtId="49" fontId="2" fillId="7" borderId="5" xfId="0" applyNumberFormat="1" applyFont="1" applyFill="1" applyBorder="1" applyAlignment="1">
      <alignment horizontal="center" vertical="center"/>
    </xf>
    <xf numFmtId="49" fontId="2" fillId="13" borderId="5" xfId="0" quotePrefix="1" applyNumberFormat="1" applyFont="1" applyFill="1" applyBorder="1" applyAlignment="1">
      <alignment horizontal="center" vertical="center"/>
    </xf>
    <xf numFmtId="49" fontId="2" fillId="13" borderId="1" xfId="0" quotePrefix="1" applyNumberFormat="1" applyFont="1" applyFill="1" applyBorder="1" applyAlignment="1">
      <alignment horizontal="center" vertical="center"/>
    </xf>
    <xf numFmtId="49" fontId="2" fillId="13" borderId="1" xfId="0" applyNumberFormat="1" applyFont="1" applyFill="1" applyBorder="1" applyAlignment="1">
      <alignment horizontal="center" vertical="center"/>
    </xf>
    <xf numFmtId="49" fontId="2" fillId="13" borderId="23" xfId="0" applyNumberFormat="1" applyFont="1" applyFill="1" applyBorder="1" applyAlignment="1">
      <alignment horizontal="center" vertical="center"/>
    </xf>
    <xf numFmtId="49" fontId="2" fillId="17" borderId="5" xfId="0" applyNumberFormat="1" applyFont="1" applyFill="1" applyBorder="1" applyAlignment="1">
      <alignment horizontal="center" vertical="center"/>
    </xf>
    <xf numFmtId="49" fontId="2" fillId="17" borderId="1" xfId="0" applyNumberFormat="1" applyFont="1" applyFill="1" applyBorder="1" applyAlignment="1">
      <alignment horizontal="center" vertical="center"/>
    </xf>
    <xf numFmtId="49" fontId="2" fillId="13" borderId="5" xfId="0" applyNumberFormat="1" applyFont="1" applyFill="1" applyBorder="1" applyAlignment="1">
      <alignment horizontal="center" vertical="center"/>
    </xf>
    <xf numFmtId="49" fontId="2" fillId="3" borderId="5" xfId="0" applyNumberFormat="1" applyFont="1" applyFill="1" applyBorder="1" applyAlignment="1">
      <alignment horizontal="center" vertical="center"/>
    </xf>
    <xf numFmtId="49" fontId="2" fillId="3" borderId="1" xfId="0" applyNumberFormat="1" applyFont="1" applyFill="1" applyBorder="1" applyAlignment="1">
      <alignment horizontal="center" vertical="center"/>
    </xf>
    <xf numFmtId="49" fontId="2" fillId="3" borderId="23" xfId="0" applyNumberFormat="1" applyFont="1" applyFill="1" applyBorder="1" applyAlignment="1">
      <alignment horizontal="center" vertical="center"/>
    </xf>
    <xf numFmtId="49" fontId="2" fillId="18" borderId="5" xfId="0" applyNumberFormat="1" applyFont="1" applyFill="1" applyBorder="1" applyAlignment="1">
      <alignment horizontal="center" vertical="center"/>
    </xf>
    <xf numFmtId="49" fontId="2" fillId="18" borderId="23" xfId="0" applyNumberFormat="1" applyFont="1" applyFill="1" applyBorder="1" applyAlignment="1">
      <alignment horizontal="center" vertical="center"/>
    </xf>
    <xf numFmtId="49" fontId="2" fillId="4" borderId="5" xfId="0" applyNumberFormat="1" applyFont="1" applyFill="1" applyBorder="1" applyAlignment="1">
      <alignment horizontal="center" vertical="center"/>
    </xf>
    <xf numFmtId="49" fontId="2" fillId="4" borderId="1" xfId="0" applyNumberFormat="1" applyFont="1" applyFill="1" applyBorder="1" applyAlignment="1">
      <alignment horizontal="center" vertical="center"/>
    </xf>
    <xf numFmtId="49" fontId="2" fillId="4" borderId="23" xfId="0" applyNumberFormat="1" applyFont="1" applyFill="1" applyBorder="1" applyAlignment="1">
      <alignment horizontal="center" vertical="center"/>
    </xf>
    <xf numFmtId="49" fontId="2" fillId="4" borderId="10" xfId="0" applyNumberFormat="1" applyFont="1" applyFill="1" applyBorder="1" applyAlignment="1">
      <alignment horizontal="center" vertical="center"/>
    </xf>
    <xf numFmtId="2" fontId="6" fillId="2" borderId="23" xfId="0" quotePrefix="1" applyNumberFormat="1" applyFont="1" applyFill="1" applyBorder="1" applyAlignment="1">
      <alignment horizontal="center" vertical="center" readingOrder="1"/>
    </xf>
    <xf numFmtId="2" fontId="6" fillId="2" borderId="19" xfId="0" quotePrefix="1" applyNumberFormat="1" applyFont="1" applyFill="1" applyBorder="1" applyAlignment="1">
      <alignment horizontal="center" vertical="center" readingOrder="1"/>
    </xf>
    <xf numFmtId="2" fontId="2" fillId="11" borderId="5" xfId="0" applyNumberFormat="1" applyFont="1" applyFill="1" applyBorder="1" applyAlignment="1">
      <alignment horizontal="center"/>
    </xf>
    <xf numFmtId="2" fontId="2" fillId="11" borderId="1" xfId="0" applyNumberFormat="1" applyFont="1" applyFill="1" applyBorder="1" applyAlignment="1">
      <alignment horizontal="center"/>
    </xf>
    <xf numFmtId="2" fontId="2" fillId="11" borderId="23" xfId="0" applyNumberFormat="1" applyFont="1" applyFill="1" applyBorder="1" applyAlignment="1">
      <alignment horizontal="center"/>
    </xf>
    <xf numFmtId="2" fontId="2" fillId="16" borderId="5" xfId="0" applyNumberFormat="1" applyFont="1" applyFill="1" applyBorder="1" applyAlignment="1">
      <alignment horizontal="center"/>
    </xf>
    <xf numFmtId="2" fontId="2" fillId="16" borderId="1" xfId="0" applyNumberFormat="1" applyFont="1" applyFill="1" applyBorder="1" applyAlignment="1">
      <alignment horizontal="center"/>
    </xf>
    <xf numFmtId="2" fontId="2" fillId="16" borderId="23" xfId="0" applyNumberFormat="1" applyFont="1" applyFill="1" applyBorder="1" applyAlignment="1">
      <alignment horizontal="center"/>
    </xf>
    <xf numFmtId="2" fontId="2" fillId="16" borderId="19" xfId="0" applyNumberFormat="1" applyFont="1" applyFill="1" applyBorder="1" applyAlignment="1">
      <alignment horizontal="center"/>
    </xf>
    <xf numFmtId="2" fontId="2" fillId="8" borderId="5" xfId="0" applyNumberFormat="1" applyFont="1" applyFill="1" applyBorder="1" applyAlignment="1">
      <alignment horizontal="center"/>
    </xf>
    <xf numFmtId="2" fontId="2" fillId="8" borderId="1" xfId="0" applyNumberFormat="1" applyFont="1" applyFill="1" applyBorder="1" applyAlignment="1">
      <alignment horizontal="center"/>
    </xf>
    <xf numFmtId="2" fontId="2" fillId="8" borderId="23" xfId="0" applyNumberFormat="1" applyFont="1" applyFill="1" applyBorder="1" applyAlignment="1">
      <alignment horizontal="center"/>
    </xf>
    <xf numFmtId="2" fontId="2" fillId="14" borderId="5" xfId="0" applyNumberFormat="1" applyFont="1" applyFill="1" applyBorder="1" applyAlignment="1">
      <alignment horizontal="center"/>
    </xf>
    <xf numFmtId="2" fontId="2" fillId="14" borderId="1" xfId="0" applyNumberFormat="1" applyFont="1" applyFill="1" applyBorder="1" applyAlignment="1">
      <alignment horizontal="center"/>
    </xf>
    <xf numFmtId="2" fontId="2" fillId="14" borderId="23" xfId="0" applyNumberFormat="1" applyFont="1" applyFill="1" applyBorder="1" applyAlignment="1">
      <alignment horizontal="center"/>
    </xf>
    <xf numFmtId="2" fontId="2" fillId="14" borderId="19" xfId="0" applyNumberFormat="1" applyFont="1" applyFill="1" applyBorder="1" applyAlignment="1">
      <alignment horizontal="center"/>
    </xf>
    <xf numFmtId="2" fontId="2" fillId="5" borderId="5" xfId="0" applyNumberFormat="1" applyFont="1" applyFill="1" applyBorder="1" applyAlignment="1">
      <alignment horizontal="center"/>
    </xf>
    <xf numFmtId="2" fontId="2" fillId="5" borderId="1" xfId="0" applyNumberFormat="1" applyFont="1" applyFill="1" applyBorder="1" applyAlignment="1">
      <alignment horizontal="center"/>
    </xf>
    <xf numFmtId="2" fontId="2" fillId="5" borderId="23" xfId="0" applyNumberFormat="1" applyFont="1" applyFill="1" applyBorder="1" applyAlignment="1">
      <alignment horizontal="center"/>
    </xf>
    <xf numFmtId="2" fontId="2" fillId="7" borderId="5" xfId="0" applyNumberFormat="1" applyFont="1" applyFill="1" applyBorder="1" applyAlignment="1">
      <alignment horizontal="center"/>
    </xf>
    <xf numFmtId="2" fontId="2" fillId="6" borderId="5" xfId="0" applyNumberFormat="1" applyFont="1" applyFill="1" applyBorder="1" applyAlignment="1">
      <alignment horizontal="center"/>
    </xf>
    <xf numFmtId="2" fontId="2" fillId="6" borderId="1" xfId="0" applyNumberFormat="1" applyFont="1" applyFill="1" applyBorder="1" applyAlignment="1">
      <alignment horizontal="center"/>
    </xf>
    <xf numFmtId="2" fontId="2" fillId="6" borderId="23" xfId="0" applyNumberFormat="1" applyFont="1" applyFill="1" applyBorder="1" applyAlignment="1">
      <alignment horizontal="center"/>
    </xf>
    <xf numFmtId="2" fontId="2" fillId="7" borderId="23" xfId="0" applyNumberFormat="1" applyFont="1" applyFill="1" applyBorder="1" applyAlignment="1">
      <alignment horizontal="center"/>
    </xf>
    <xf numFmtId="2" fontId="2" fillId="13" borderId="5" xfId="0" applyNumberFormat="1" applyFont="1" applyFill="1" applyBorder="1" applyAlignment="1">
      <alignment horizontal="center"/>
    </xf>
    <xf numFmtId="2" fontId="2" fillId="13" borderId="1" xfId="0" applyNumberFormat="1" applyFont="1" applyFill="1" applyBorder="1" applyAlignment="1">
      <alignment horizontal="center"/>
    </xf>
    <xf numFmtId="2" fontId="2" fillId="13" borderId="23" xfId="0" applyNumberFormat="1" applyFont="1" applyFill="1" applyBorder="1" applyAlignment="1">
      <alignment horizontal="center"/>
    </xf>
    <xf numFmtId="2" fontId="2" fillId="17" borderId="5" xfId="0" applyNumberFormat="1" applyFont="1" applyFill="1" applyBorder="1" applyAlignment="1">
      <alignment horizontal="center"/>
    </xf>
    <xf numFmtId="2" fontId="2" fillId="17" borderId="1" xfId="0" applyNumberFormat="1" applyFont="1" applyFill="1" applyBorder="1" applyAlignment="1">
      <alignment horizontal="center"/>
    </xf>
    <xf numFmtId="2" fontId="2" fillId="18" borderId="5" xfId="0" applyNumberFormat="1" applyFont="1" applyFill="1" applyBorder="1" applyAlignment="1">
      <alignment horizontal="center"/>
    </xf>
    <xf numFmtId="2" fontId="2" fillId="3" borderId="5" xfId="0" applyNumberFormat="1" applyFont="1" applyFill="1" applyBorder="1" applyAlignment="1">
      <alignment horizontal="center"/>
    </xf>
    <xf numFmtId="2" fontId="2" fillId="3" borderId="1" xfId="0" applyNumberFormat="1" applyFont="1" applyFill="1" applyBorder="1" applyAlignment="1">
      <alignment horizontal="center"/>
    </xf>
    <xf numFmtId="2" fontId="2" fillId="3" borderId="23" xfId="0" applyNumberFormat="1" applyFont="1" applyFill="1" applyBorder="1" applyAlignment="1">
      <alignment horizontal="center"/>
    </xf>
    <xf numFmtId="2" fontId="2" fillId="4" borderId="5" xfId="0" applyNumberFormat="1" applyFont="1" applyFill="1" applyBorder="1" applyAlignment="1">
      <alignment horizontal="center"/>
    </xf>
    <xf numFmtId="2" fontId="2" fillId="4" borderId="1" xfId="0" applyNumberFormat="1" applyFont="1" applyFill="1" applyBorder="1" applyAlignment="1">
      <alignment horizontal="center"/>
    </xf>
    <xf numFmtId="2" fontId="2" fillId="4" borderId="23" xfId="0" applyNumberFormat="1" applyFont="1" applyFill="1" applyBorder="1" applyAlignment="1">
      <alignment horizontal="center"/>
    </xf>
    <xf numFmtId="2" fontId="2" fillId="4" borderId="10" xfId="0" applyNumberFormat="1" applyFont="1" applyFill="1" applyBorder="1" applyAlignment="1">
      <alignment horizontal="center"/>
    </xf>
    <xf numFmtId="2" fontId="6" fillId="0" borderId="0" xfId="0" quotePrefix="1" applyNumberFormat="1" applyFont="1" applyFill="1" applyBorder="1" applyAlignment="1">
      <alignment horizontal="center" vertical="center" readingOrder="1"/>
    </xf>
    <xf numFmtId="2" fontId="2" fillId="0" borderId="0" xfId="0" applyNumberFormat="1" applyFont="1" applyAlignment="1">
      <alignment horizontal="center"/>
    </xf>
    <xf numFmtId="2" fontId="7" fillId="9" borderId="3" xfId="0" applyNumberFormat="1" applyFont="1" applyFill="1" applyBorder="1" applyAlignment="1">
      <alignment horizontal="center" vertical="center" readingOrder="1"/>
    </xf>
    <xf numFmtId="2" fontId="7" fillId="9" borderId="21" xfId="0" applyNumberFormat="1" applyFont="1" applyFill="1" applyBorder="1" applyAlignment="1">
      <alignment horizontal="center" vertical="center" readingOrder="1"/>
    </xf>
    <xf numFmtId="2" fontId="3" fillId="0" borderId="0" xfId="0" applyNumberFormat="1" applyFont="1" applyFill="1" applyBorder="1" applyAlignment="1">
      <alignment horizontal="center" vertical="center"/>
    </xf>
    <xf numFmtId="2" fontId="2" fillId="0" borderId="0" xfId="0" applyNumberFormat="1" applyFont="1"/>
    <xf numFmtId="2" fontId="6" fillId="2" borderId="25" xfId="0" quotePrefix="1" applyNumberFormat="1" applyFont="1" applyFill="1" applyBorder="1" applyAlignment="1">
      <alignment horizontal="center" vertical="center"/>
    </xf>
    <xf numFmtId="2" fontId="3" fillId="2" borderId="16" xfId="0" applyNumberFormat="1" applyFont="1" applyFill="1" applyBorder="1" applyAlignment="1">
      <alignment horizontal="center" vertical="center"/>
    </xf>
    <xf numFmtId="0" fontId="2" fillId="11" borderId="6" xfId="0" applyFont="1" applyFill="1" applyBorder="1" applyAlignment="1">
      <alignment horizontal="center"/>
    </xf>
    <xf numFmtId="0" fontId="2" fillId="11" borderId="8" xfId="0" applyFont="1" applyFill="1" applyBorder="1" applyAlignment="1">
      <alignment horizontal="center"/>
    </xf>
    <xf numFmtId="0" fontId="2" fillId="11" borderId="25" xfId="0" applyFont="1" applyFill="1" applyBorder="1" applyAlignment="1">
      <alignment horizontal="center"/>
    </xf>
    <xf numFmtId="0" fontId="2" fillId="16" borderId="6" xfId="0" applyFont="1" applyFill="1" applyBorder="1" applyAlignment="1">
      <alignment horizontal="center"/>
    </xf>
    <xf numFmtId="0" fontId="2" fillId="16" borderId="8" xfId="0" applyFont="1" applyFill="1" applyBorder="1" applyAlignment="1">
      <alignment horizontal="center"/>
    </xf>
    <xf numFmtId="0" fontId="2" fillId="16" borderId="25" xfId="0" applyFont="1" applyFill="1" applyBorder="1" applyAlignment="1">
      <alignment horizontal="center"/>
    </xf>
    <xf numFmtId="0" fontId="2" fillId="16" borderId="16" xfId="0" applyFont="1" applyFill="1" applyBorder="1" applyAlignment="1">
      <alignment horizontal="center"/>
    </xf>
    <xf numFmtId="0" fontId="2" fillId="8" borderId="6" xfId="0" applyFont="1" applyFill="1" applyBorder="1" applyAlignment="1">
      <alignment horizontal="center"/>
    </xf>
    <xf numFmtId="0" fontId="2" fillId="8" borderId="8" xfId="0" applyFont="1" applyFill="1" applyBorder="1" applyAlignment="1">
      <alignment horizontal="center"/>
    </xf>
    <xf numFmtId="0" fontId="6" fillId="15" borderId="6" xfId="0" quotePrefix="1" applyFont="1" applyFill="1" applyBorder="1" applyAlignment="1">
      <alignment horizontal="center" readingOrder="1"/>
    </xf>
    <xf numFmtId="0" fontId="6" fillId="15" borderId="8" xfId="0" quotePrefix="1" applyFont="1" applyFill="1" applyBorder="1" applyAlignment="1">
      <alignment horizontal="center" readingOrder="1"/>
    </xf>
    <xf numFmtId="0" fontId="6" fillId="15" borderId="25" xfId="0" quotePrefix="1" applyFont="1" applyFill="1" applyBorder="1" applyAlignment="1">
      <alignment horizontal="center" readingOrder="1"/>
    </xf>
    <xf numFmtId="0" fontId="6" fillId="2" borderId="6" xfId="0" quotePrefix="1" applyFont="1" applyFill="1" applyBorder="1" applyAlignment="1">
      <alignment horizontal="center" readingOrder="1"/>
    </xf>
    <xf numFmtId="0" fontId="6" fillId="2" borderId="8" xfId="0" quotePrefix="1" applyFont="1" applyFill="1" applyBorder="1" applyAlignment="1">
      <alignment horizontal="center" readingOrder="1"/>
    </xf>
    <xf numFmtId="0" fontId="6" fillId="2" borderId="25" xfId="0" quotePrefix="1" applyFont="1" applyFill="1" applyBorder="1" applyAlignment="1">
      <alignment horizontal="center" readingOrder="1"/>
    </xf>
    <xf numFmtId="1" fontId="6" fillId="15" borderId="6" xfId="0" quotePrefix="1" applyNumberFormat="1" applyFont="1" applyFill="1" applyBorder="1" applyAlignment="1">
      <alignment horizontal="center" readingOrder="1"/>
    </xf>
    <xf numFmtId="0" fontId="6" fillId="2" borderId="16" xfId="0" quotePrefix="1" applyFont="1" applyFill="1" applyBorder="1" applyAlignment="1">
      <alignment horizontal="center" readingOrder="1"/>
    </xf>
    <xf numFmtId="49" fontId="2" fillId="8" borderId="10" xfId="0" applyNumberFormat="1" applyFont="1" applyFill="1" applyBorder="1" applyAlignment="1">
      <alignment horizontal="center"/>
    </xf>
    <xf numFmtId="0" fontId="2" fillId="8" borderId="10" xfId="0" applyFont="1" applyFill="1" applyBorder="1" applyAlignment="1">
      <alignment horizontal="center" vertical="center"/>
    </xf>
    <xf numFmtId="0" fontId="2" fillId="8" borderId="10" xfId="0" applyFont="1" applyFill="1" applyBorder="1" applyAlignment="1">
      <alignment horizontal="center"/>
    </xf>
    <xf numFmtId="0" fontId="2" fillId="8" borderId="15" xfId="0" applyFont="1" applyFill="1" applyBorder="1" applyAlignment="1">
      <alignment horizontal="center"/>
    </xf>
    <xf numFmtId="49" fontId="2" fillId="14" borderId="10" xfId="0" applyNumberFormat="1" applyFont="1" applyFill="1" applyBorder="1" applyAlignment="1">
      <alignment horizontal="center"/>
    </xf>
    <xf numFmtId="0" fontId="2" fillId="14" borderId="10" xfId="0" applyFont="1" applyFill="1" applyBorder="1" applyAlignment="1">
      <alignment horizontal="center" vertical="center"/>
    </xf>
    <xf numFmtId="0" fontId="2" fillId="14" borderId="6" xfId="0" applyFont="1" applyFill="1" applyBorder="1" applyAlignment="1">
      <alignment horizontal="center"/>
    </xf>
    <xf numFmtId="0" fontId="2" fillId="14" borderId="8" xfId="0" applyFont="1" applyFill="1" applyBorder="1" applyAlignment="1">
      <alignment horizontal="center"/>
    </xf>
    <xf numFmtId="0" fontId="2" fillId="14" borderId="10" xfId="0" applyFont="1" applyFill="1" applyBorder="1" applyAlignment="1">
      <alignment horizontal="center"/>
    </xf>
    <xf numFmtId="0" fontId="2" fillId="14" borderId="15" xfId="0" applyFon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8" xfId="0" applyFont="1" applyFill="1" applyBorder="1" applyAlignment="1">
      <alignment horizontal="center"/>
    </xf>
    <xf numFmtId="49" fontId="2" fillId="3" borderId="10" xfId="0" applyNumberFormat="1" applyFont="1" applyFill="1" applyBorder="1" applyAlignment="1">
      <alignment horizontal="center"/>
    </xf>
    <xf numFmtId="0" fontId="2" fillId="3" borderId="10" xfId="0" applyFont="1" applyFill="1" applyBorder="1" applyAlignment="1">
      <alignment horizontal="center" vertical="center"/>
    </xf>
    <xf numFmtId="0" fontId="2" fillId="3" borderId="10" xfId="0" applyFont="1" applyFill="1" applyBorder="1" applyAlignment="1">
      <alignment horizontal="center"/>
    </xf>
    <xf numFmtId="0" fontId="2" fillId="3" borderId="15" xfId="0" applyFont="1" applyFill="1" applyBorder="1" applyAlignment="1">
      <alignment horizontal="center"/>
    </xf>
    <xf numFmtId="49" fontId="2" fillId="14" borderId="12" xfId="0" applyNumberFormat="1" applyFont="1" applyFill="1" applyBorder="1" applyAlignment="1">
      <alignment horizontal="center"/>
    </xf>
    <xf numFmtId="0" fontId="2" fillId="14" borderId="12" xfId="0" applyFont="1" applyFill="1" applyBorder="1" applyAlignment="1">
      <alignment horizontal="center" vertical="center"/>
    </xf>
    <xf numFmtId="0" fontId="2" fillId="14" borderId="12" xfId="0" applyFont="1" applyFill="1" applyBorder="1" applyAlignment="1">
      <alignment horizontal="center"/>
    </xf>
    <xf numFmtId="0" fontId="2" fillId="14" borderId="13" xfId="0" applyFont="1" applyFill="1" applyBorder="1" applyAlignment="1">
      <alignment horizontal="center"/>
    </xf>
    <xf numFmtId="0" fontId="2" fillId="5" borderId="26" xfId="0" applyFont="1" applyFill="1" applyBorder="1" applyAlignment="1">
      <alignment horizontal="center" vertical="center"/>
    </xf>
    <xf numFmtId="49" fontId="6" fillId="5" borderId="14" xfId="0" applyNumberFormat="1" applyFont="1" applyFill="1" applyBorder="1" applyAlignment="1">
      <alignment horizontal="center" vertical="center" readingOrder="1"/>
    </xf>
    <xf numFmtId="0" fontId="6" fillId="5" borderId="14" xfId="0" applyFont="1" applyFill="1" applyBorder="1" applyAlignment="1">
      <alignment horizontal="center" vertical="center" readingOrder="1"/>
    </xf>
    <xf numFmtId="49" fontId="2" fillId="5" borderId="14" xfId="0" applyNumberFormat="1" applyFont="1" applyFill="1" applyBorder="1" applyAlignment="1">
      <alignment horizontal="center"/>
    </xf>
    <xf numFmtId="0" fontId="2" fillId="5" borderId="14" xfId="0" applyFont="1" applyFill="1" applyBorder="1" applyAlignment="1">
      <alignment horizontal="center" vertical="center"/>
    </xf>
    <xf numFmtId="0" fontId="6" fillId="5" borderId="14" xfId="0" applyNumberFormat="1" applyFont="1" applyFill="1" applyBorder="1" applyAlignment="1">
      <alignment horizontal="center" vertical="center" readingOrder="1"/>
    </xf>
    <xf numFmtId="0" fontId="6" fillId="5" borderId="14" xfId="0" quotePrefix="1" applyFont="1" applyFill="1" applyBorder="1" applyAlignment="1">
      <alignment horizontal="left" vertical="center" readingOrder="1"/>
    </xf>
    <xf numFmtId="0" fontId="6" fillId="5" borderId="14" xfId="0" quotePrefix="1" applyFont="1" applyFill="1" applyBorder="1" applyAlignment="1">
      <alignment horizontal="center" vertical="center" readingOrder="1"/>
    </xf>
    <xf numFmtId="0" fontId="2" fillId="5" borderId="14" xfId="0" applyFont="1" applyFill="1" applyBorder="1" applyAlignment="1">
      <alignment horizontal="center"/>
    </xf>
    <xf numFmtId="0" fontId="2" fillId="5" borderId="17" xfId="0" applyFont="1" applyFill="1" applyBorder="1" applyAlignment="1">
      <alignment horizontal="center"/>
    </xf>
    <xf numFmtId="0" fontId="2" fillId="5" borderId="8" xfId="0" applyFont="1" applyFill="1" applyBorder="1" applyAlignment="1">
      <alignment horizontal="center"/>
    </xf>
    <xf numFmtId="0" fontId="2" fillId="5" borderId="25" xfId="0" applyFont="1" applyFill="1" applyBorder="1" applyAlignment="1">
      <alignment horizontal="center"/>
    </xf>
    <xf numFmtId="49" fontId="2" fillId="7" borderId="10" xfId="0" applyNumberFormat="1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 vertical="center"/>
    </xf>
    <xf numFmtId="0" fontId="2" fillId="6" borderId="6" xfId="0" applyFont="1" applyFill="1" applyBorder="1" applyAlignment="1">
      <alignment horizontal="center"/>
    </xf>
    <xf numFmtId="0" fontId="2" fillId="6" borderId="8" xfId="0" applyFont="1" applyFill="1" applyBorder="1" applyAlignment="1">
      <alignment horizontal="center"/>
    </xf>
    <xf numFmtId="49" fontId="2" fillId="6" borderId="10" xfId="0" applyNumberFormat="1" applyFont="1" applyFill="1" applyBorder="1" applyAlignment="1">
      <alignment horizontal="center"/>
    </xf>
    <xf numFmtId="0" fontId="2" fillId="6" borderId="10" xfId="0" applyFont="1" applyFill="1" applyBorder="1" applyAlignment="1">
      <alignment horizontal="center" vertical="center"/>
    </xf>
    <xf numFmtId="0" fontId="2" fillId="6" borderId="10" xfId="0" applyFont="1" applyFill="1" applyBorder="1" applyAlignment="1">
      <alignment horizontal="center"/>
    </xf>
    <xf numFmtId="0" fontId="2" fillId="6" borderId="15" xfId="0" applyFont="1" applyFill="1" applyBorder="1" applyAlignment="1">
      <alignment horizontal="center"/>
    </xf>
    <xf numFmtId="0" fontId="2" fillId="7" borderId="6" xfId="0" applyFont="1" applyFill="1" applyBorder="1" applyAlignment="1">
      <alignment horizontal="center"/>
    </xf>
    <xf numFmtId="0" fontId="2" fillId="7" borderId="8" xfId="0" applyFont="1" applyFill="1" applyBorder="1" applyAlignment="1">
      <alignment horizontal="center"/>
    </xf>
    <xf numFmtId="0" fontId="2" fillId="7" borderId="10" xfId="0" applyFont="1" applyFill="1" applyBorder="1" applyAlignment="1">
      <alignment horizontal="center"/>
    </xf>
    <xf numFmtId="0" fontId="2" fillId="7" borderId="15" xfId="0" applyFont="1" applyFill="1" applyBorder="1" applyAlignment="1">
      <alignment horizontal="center"/>
    </xf>
    <xf numFmtId="0" fontId="2" fillId="13" borderId="10" xfId="0" applyFont="1" applyFill="1" applyBorder="1" applyAlignment="1">
      <alignment horizontal="center" vertical="center"/>
    </xf>
    <xf numFmtId="0" fontId="2" fillId="13" borderId="6" xfId="0" applyFont="1" applyFill="1" applyBorder="1" applyAlignment="1">
      <alignment horizontal="center"/>
    </xf>
    <xf numFmtId="0" fontId="2" fillId="13" borderId="8" xfId="0" applyFont="1" applyFill="1" applyBorder="1" applyAlignment="1">
      <alignment horizontal="center"/>
    </xf>
    <xf numFmtId="0" fontId="2" fillId="13" borderId="10" xfId="0" applyFont="1" applyFill="1" applyBorder="1" applyAlignment="1">
      <alignment horizontal="center"/>
    </xf>
    <xf numFmtId="0" fontId="2" fillId="13" borderId="15" xfId="0" applyFont="1" applyFill="1" applyBorder="1" applyAlignment="1">
      <alignment horizontal="center"/>
    </xf>
    <xf numFmtId="49" fontId="2" fillId="17" borderId="10" xfId="0" applyNumberFormat="1" applyFont="1" applyFill="1" applyBorder="1" applyAlignment="1">
      <alignment horizontal="center"/>
    </xf>
    <xf numFmtId="0" fontId="2" fillId="17" borderId="10" xfId="0" applyFont="1" applyFill="1" applyBorder="1" applyAlignment="1">
      <alignment horizontal="center" vertical="center"/>
    </xf>
    <xf numFmtId="0" fontId="2" fillId="18" borderId="6" xfId="0" applyFont="1" applyFill="1" applyBorder="1" applyAlignment="1">
      <alignment horizontal="center"/>
    </xf>
    <xf numFmtId="0" fontId="2" fillId="18" borderId="8" xfId="0" applyFont="1" applyFill="1" applyBorder="1" applyAlignment="1">
      <alignment horizontal="center"/>
    </xf>
    <xf numFmtId="49" fontId="2" fillId="18" borderId="10" xfId="0" applyNumberFormat="1" applyFont="1" applyFill="1" applyBorder="1" applyAlignment="1">
      <alignment horizontal="center"/>
    </xf>
    <xf numFmtId="0" fontId="2" fillId="18" borderId="10" xfId="0" applyFont="1" applyFill="1" applyBorder="1" applyAlignment="1">
      <alignment horizontal="center" vertical="center"/>
    </xf>
    <xf numFmtId="0" fontId="2" fillId="18" borderId="10" xfId="0" applyFont="1" applyFill="1" applyBorder="1" applyAlignment="1">
      <alignment horizontal="center"/>
    </xf>
    <xf numFmtId="0" fontId="2" fillId="18" borderId="15" xfId="0" applyFont="1" applyFill="1" applyBorder="1" applyAlignment="1">
      <alignment horizontal="center"/>
    </xf>
    <xf numFmtId="0" fontId="2" fillId="17" borderId="6" xfId="0" applyFont="1" applyFill="1" applyBorder="1" applyAlignment="1">
      <alignment horizontal="center"/>
    </xf>
    <xf numFmtId="0" fontId="2" fillId="17" borderId="8" xfId="0" applyFont="1" applyFill="1" applyBorder="1" applyAlignment="1">
      <alignment horizontal="center"/>
    </xf>
    <xf numFmtId="0" fontId="2" fillId="17" borderId="10" xfId="0" applyFont="1" applyFill="1" applyBorder="1" applyAlignment="1">
      <alignment horizontal="center"/>
    </xf>
    <xf numFmtId="0" fontId="2" fillId="17" borderId="15" xfId="0" applyFont="1" applyFill="1" applyBorder="1" applyAlignment="1">
      <alignment horizontal="center"/>
    </xf>
    <xf numFmtId="0" fontId="2" fillId="4" borderId="14" xfId="0" applyFont="1" applyFill="1" applyBorder="1" applyAlignment="1">
      <alignment horizontal="center" vertical="center"/>
    </xf>
    <xf numFmtId="0" fontId="2" fillId="4" borderId="6" xfId="0" applyFont="1" applyFill="1" applyBorder="1" applyAlignment="1">
      <alignment horizontal="center"/>
    </xf>
    <xf numFmtId="0" fontId="2" fillId="4" borderId="8" xfId="0" applyFont="1" applyFill="1" applyBorder="1" applyAlignment="1">
      <alignment horizontal="center"/>
    </xf>
    <xf numFmtId="0" fontId="2" fillId="4" borderId="15" xfId="0" applyFont="1" applyFill="1" applyBorder="1" applyAlignment="1">
      <alignment horizontal="center"/>
    </xf>
    <xf numFmtId="0" fontId="2" fillId="19" borderId="6" xfId="0" applyFont="1" applyFill="1" applyBorder="1" applyAlignment="1">
      <alignment horizontal="center"/>
    </xf>
    <xf numFmtId="0" fontId="2" fillId="19" borderId="8" xfId="0" applyFont="1" applyFill="1" applyBorder="1" applyAlignment="1">
      <alignment horizontal="center"/>
    </xf>
    <xf numFmtId="0" fontId="2" fillId="19" borderId="15" xfId="0" applyFont="1" applyFill="1" applyBorder="1" applyAlignment="1">
      <alignment horizontal="center"/>
    </xf>
    <xf numFmtId="49" fontId="2" fillId="4" borderId="33" xfId="0" applyNumberFormat="1" applyFont="1" applyFill="1" applyBorder="1" applyAlignment="1">
      <alignment horizontal="center"/>
    </xf>
    <xf numFmtId="0" fontId="2" fillId="4" borderId="33" xfId="0" applyFont="1" applyFill="1" applyBorder="1" applyAlignment="1">
      <alignment horizontal="center" vertical="center"/>
    </xf>
    <xf numFmtId="0" fontId="2" fillId="4" borderId="12" xfId="0" applyFont="1" applyFill="1" applyBorder="1" applyAlignment="1">
      <alignment horizontal="center"/>
    </xf>
    <xf numFmtId="0" fontId="2" fillId="4" borderId="13" xfId="0" applyFont="1" applyFill="1" applyBorder="1" applyAlignment="1">
      <alignment horizontal="center"/>
    </xf>
    <xf numFmtId="2" fontId="6" fillId="4" borderId="8" xfId="0" quotePrefix="1" applyNumberFormat="1" applyFont="1" applyFill="1" applyBorder="1" applyAlignment="1">
      <alignment horizontal="center" vertical="center"/>
    </xf>
    <xf numFmtId="2" fontId="6" fillId="4" borderId="15" xfId="0" quotePrefix="1" applyNumberFormat="1" applyFont="1" applyFill="1" applyBorder="1" applyAlignment="1">
      <alignment horizontal="center" vertical="center"/>
    </xf>
    <xf numFmtId="2" fontId="6" fillId="4" borderId="26" xfId="0" quotePrefix="1" applyNumberFormat="1" applyFont="1" applyFill="1" applyBorder="1" applyAlignment="1">
      <alignment horizontal="center" vertical="center"/>
    </xf>
    <xf numFmtId="2" fontId="6" fillId="4" borderId="14" xfId="0" quotePrefix="1" applyNumberFormat="1" applyFont="1" applyFill="1" applyBorder="1" applyAlignment="1">
      <alignment horizontal="center" vertical="center"/>
    </xf>
    <xf numFmtId="49" fontId="2" fillId="4" borderId="14" xfId="0" applyNumberFormat="1" applyFont="1" applyFill="1" applyBorder="1" applyAlignment="1">
      <alignment horizontal="center" vertical="center"/>
    </xf>
    <xf numFmtId="2" fontId="2" fillId="4" borderId="14" xfId="0" applyNumberFormat="1" applyFont="1" applyFill="1" applyBorder="1" applyAlignment="1">
      <alignment horizontal="center"/>
    </xf>
    <xf numFmtId="2" fontId="6" fillId="4" borderId="17" xfId="0" quotePrefix="1" applyNumberFormat="1" applyFont="1" applyFill="1" applyBorder="1" applyAlignment="1">
      <alignment horizontal="center" vertical="center"/>
    </xf>
    <xf numFmtId="49" fontId="2" fillId="19" borderId="5" xfId="0" applyNumberFormat="1" applyFont="1" applyFill="1" applyBorder="1" applyAlignment="1">
      <alignment horizontal="center" vertical="center"/>
    </xf>
    <xf numFmtId="2" fontId="2" fillId="19" borderId="5" xfId="0" applyNumberFormat="1" applyFont="1" applyFill="1" applyBorder="1" applyAlignment="1">
      <alignment horizontal="center"/>
    </xf>
    <xf numFmtId="2" fontId="6" fillId="19" borderId="6" xfId="0" quotePrefix="1" applyNumberFormat="1" applyFont="1" applyFill="1" applyBorder="1" applyAlignment="1">
      <alignment horizontal="center" vertical="center"/>
    </xf>
    <xf numFmtId="49" fontId="2" fillId="19" borderId="1" xfId="0" applyNumberFormat="1" applyFont="1" applyFill="1" applyBorder="1" applyAlignment="1">
      <alignment horizontal="center" vertical="center"/>
    </xf>
    <xf numFmtId="2" fontId="2" fillId="19" borderId="1" xfId="0" applyNumberFormat="1" applyFont="1" applyFill="1" applyBorder="1" applyAlignment="1">
      <alignment horizontal="center"/>
    </xf>
    <xf numFmtId="2" fontId="6" fillId="19" borderId="8" xfId="0" quotePrefix="1" applyNumberFormat="1" applyFont="1" applyFill="1" applyBorder="1" applyAlignment="1">
      <alignment horizontal="center" vertical="center"/>
    </xf>
    <xf numFmtId="49" fontId="2" fillId="19" borderId="10" xfId="0" applyNumberFormat="1" applyFont="1" applyFill="1" applyBorder="1" applyAlignment="1">
      <alignment horizontal="center" vertical="center"/>
    </xf>
    <xf numFmtId="2" fontId="2" fillId="19" borderId="10" xfId="0" applyNumberFormat="1" applyFont="1" applyFill="1" applyBorder="1" applyAlignment="1">
      <alignment horizontal="center"/>
    </xf>
    <xf numFmtId="2" fontId="6" fillId="19" borderId="15" xfId="0" quotePrefix="1" applyNumberFormat="1" applyFont="1" applyFill="1" applyBorder="1" applyAlignment="1">
      <alignment horizontal="center" vertical="center"/>
    </xf>
    <xf numFmtId="49" fontId="6" fillId="15" borderId="10" xfId="0" quotePrefix="1" applyNumberFormat="1" applyFont="1" applyFill="1" applyBorder="1" applyAlignment="1">
      <alignment horizontal="center" vertical="center" readingOrder="1"/>
    </xf>
    <xf numFmtId="2" fontId="3" fillId="15" borderId="15" xfId="0" applyNumberFormat="1" applyFont="1" applyFill="1" applyBorder="1" applyAlignment="1">
      <alignment horizontal="center" vertical="center"/>
    </xf>
    <xf numFmtId="2" fontId="6" fillId="2" borderId="16" xfId="0" quotePrefix="1" applyNumberFormat="1" applyFont="1" applyFill="1" applyBorder="1" applyAlignment="1">
      <alignment horizontal="center" vertical="center"/>
    </xf>
    <xf numFmtId="2" fontId="6" fillId="11" borderId="6" xfId="0" quotePrefix="1" applyNumberFormat="1" applyFont="1" applyFill="1" applyBorder="1" applyAlignment="1">
      <alignment horizontal="center" vertical="center"/>
    </xf>
    <xf numFmtId="2" fontId="6" fillId="11" borderId="8" xfId="0" quotePrefix="1" applyNumberFormat="1" applyFont="1" applyFill="1" applyBorder="1" applyAlignment="1">
      <alignment horizontal="center" vertical="center"/>
    </xf>
    <xf numFmtId="2" fontId="6" fillId="11" borderId="25" xfId="0" quotePrefix="1" applyNumberFormat="1" applyFont="1" applyFill="1" applyBorder="1" applyAlignment="1">
      <alignment horizontal="center" vertical="center"/>
    </xf>
    <xf numFmtId="2" fontId="6" fillId="16" borderId="6" xfId="0" quotePrefix="1" applyNumberFormat="1" applyFont="1" applyFill="1" applyBorder="1" applyAlignment="1">
      <alignment horizontal="center" vertical="center"/>
    </xf>
    <xf numFmtId="2" fontId="6" fillId="16" borderId="8" xfId="0" quotePrefix="1" applyNumberFormat="1" applyFont="1" applyFill="1" applyBorder="1" applyAlignment="1">
      <alignment horizontal="center" vertical="center"/>
    </xf>
    <xf numFmtId="2" fontId="6" fillId="16" borderId="25" xfId="0" quotePrefix="1" applyNumberFormat="1" applyFont="1" applyFill="1" applyBorder="1" applyAlignment="1">
      <alignment horizontal="center" vertical="center"/>
    </xf>
    <xf numFmtId="2" fontId="6" fillId="16" borderId="16" xfId="0" quotePrefix="1" applyNumberFormat="1" applyFont="1" applyFill="1" applyBorder="1" applyAlignment="1">
      <alignment horizontal="center" vertical="center"/>
    </xf>
    <xf numFmtId="2" fontId="6" fillId="10" borderId="4" xfId="0" quotePrefix="1" applyNumberFormat="1" applyFont="1" applyFill="1" applyBorder="1" applyAlignment="1">
      <alignment horizontal="center" vertical="center"/>
    </xf>
    <xf numFmtId="2" fontId="6" fillId="10" borderId="5" xfId="0" quotePrefix="1" applyNumberFormat="1" applyFont="1" applyFill="1" applyBorder="1" applyAlignment="1">
      <alignment horizontal="center" vertical="center"/>
    </xf>
    <xf numFmtId="0" fontId="6" fillId="10" borderId="5" xfId="0" quotePrefix="1" applyFont="1" applyFill="1" applyBorder="1" applyAlignment="1">
      <alignment horizontal="center" vertical="center" readingOrder="1"/>
    </xf>
    <xf numFmtId="0" fontId="2" fillId="10" borderId="5" xfId="0" applyFont="1" applyFill="1" applyBorder="1" applyAlignment="1">
      <alignment horizontal="center" vertical="center"/>
    </xf>
    <xf numFmtId="2" fontId="2" fillId="10" borderId="5" xfId="0" applyNumberFormat="1" applyFont="1" applyFill="1" applyBorder="1" applyAlignment="1">
      <alignment horizontal="center"/>
    </xf>
    <xf numFmtId="2" fontId="6" fillId="10" borderId="6" xfId="0" quotePrefix="1" applyNumberFormat="1" applyFont="1" applyFill="1" applyBorder="1" applyAlignment="1">
      <alignment horizontal="center" vertical="center"/>
    </xf>
    <xf numFmtId="2" fontId="6" fillId="10" borderId="7" xfId="0" quotePrefix="1" applyNumberFormat="1" applyFont="1" applyFill="1" applyBorder="1" applyAlignment="1">
      <alignment horizontal="center" vertical="center"/>
    </xf>
    <xf numFmtId="2" fontId="6" fillId="10" borderId="1" xfId="0" quotePrefix="1" applyNumberFormat="1" applyFont="1" applyFill="1" applyBorder="1" applyAlignment="1">
      <alignment horizontal="center" vertical="center"/>
    </xf>
    <xf numFmtId="0" fontId="6" fillId="10" borderId="1" xfId="0" quotePrefix="1" applyFont="1" applyFill="1" applyBorder="1" applyAlignment="1">
      <alignment horizontal="center" vertical="center" readingOrder="1"/>
    </xf>
    <xf numFmtId="0" fontId="2" fillId="10" borderId="1" xfId="0" applyFont="1" applyFill="1" applyBorder="1" applyAlignment="1">
      <alignment horizontal="center" vertical="center"/>
    </xf>
    <xf numFmtId="2" fontId="2" fillId="10" borderId="1" xfId="0" applyNumberFormat="1" applyFont="1" applyFill="1" applyBorder="1" applyAlignment="1">
      <alignment horizontal="center"/>
    </xf>
    <xf numFmtId="2" fontId="6" fillId="10" borderId="8" xfId="0" quotePrefix="1" applyNumberFormat="1" applyFont="1" applyFill="1" applyBorder="1" applyAlignment="1">
      <alignment horizontal="center" vertical="center"/>
    </xf>
    <xf numFmtId="49" fontId="2" fillId="10" borderId="1" xfId="0" quotePrefix="1" applyNumberFormat="1" applyFont="1" applyFill="1" applyBorder="1" applyAlignment="1">
      <alignment horizontal="center" vertical="center"/>
    </xf>
    <xf numFmtId="2" fontId="6" fillId="3" borderId="6" xfId="0" quotePrefix="1" applyNumberFormat="1" applyFont="1" applyFill="1" applyBorder="1" applyAlignment="1">
      <alignment horizontal="center" vertical="center"/>
    </xf>
    <xf numFmtId="2" fontId="6" fillId="3" borderId="8" xfId="0" quotePrefix="1" applyNumberFormat="1" applyFont="1" applyFill="1" applyBorder="1" applyAlignment="1">
      <alignment horizontal="center" vertical="center"/>
    </xf>
    <xf numFmtId="2" fontId="6" fillId="8" borderId="6" xfId="0" quotePrefix="1" applyNumberFormat="1" applyFont="1" applyFill="1" applyBorder="1" applyAlignment="1">
      <alignment horizontal="center" vertical="center"/>
    </xf>
    <xf numFmtId="2" fontId="6" fillId="8" borderId="8" xfId="0" quotePrefix="1" applyNumberFormat="1" applyFont="1" applyFill="1" applyBorder="1" applyAlignment="1">
      <alignment horizontal="center" vertical="center"/>
    </xf>
    <xf numFmtId="2" fontId="6" fillId="8" borderId="25" xfId="0" quotePrefix="1" applyNumberFormat="1" applyFont="1" applyFill="1" applyBorder="1" applyAlignment="1">
      <alignment horizontal="center" vertical="center"/>
    </xf>
    <xf numFmtId="49" fontId="2" fillId="14" borderId="1" xfId="0" quotePrefix="1" applyNumberFormat="1" applyFont="1" applyFill="1" applyBorder="1" applyAlignment="1">
      <alignment horizontal="center" vertical="center"/>
    </xf>
    <xf numFmtId="2" fontId="6" fillId="14" borderId="6" xfId="0" quotePrefix="1" applyNumberFormat="1" applyFont="1" applyFill="1" applyBorder="1" applyAlignment="1">
      <alignment horizontal="center" vertical="center"/>
    </xf>
    <xf numFmtId="2" fontId="6" fillId="14" borderId="8" xfId="0" quotePrefix="1" applyNumberFormat="1" applyFont="1" applyFill="1" applyBorder="1" applyAlignment="1">
      <alignment horizontal="center" vertical="center"/>
    </xf>
    <xf numFmtId="2" fontId="6" fillId="14" borderId="25" xfId="0" quotePrefix="1" applyNumberFormat="1" applyFont="1" applyFill="1" applyBorder="1" applyAlignment="1">
      <alignment horizontal="center" vertical="center"/>
    </xf>
    <xf numFmtId="2" fontId="6" fillId="14" borderId="16" xfId="0" quotePrefix="1" applyNumberFormat="1" applyFont="1" applyFill="1" applyBorder="1" applyAlignment="1">
      <alignment horizontal="center" vertical="center"/>
    </xf>
    <xf numFmtId="2" fontId="6" fillId="4" borderId="6" xfId="0" quotePrefix="1" applyNumberFormat="1" applyFont="1" applyFill="1" applyBorder="1" applyAlignment="1">
      <alignment horizontal="center" vertical="center"/>
    </xf>
    <xf numFmtId="0" fontId="2" fillId="8" borderId="1" xfId="0" quotePrefix="1" applyFont="1" applyFill="1" applyBorder="1" applyAlignment="1">
      <alignment horizontal="center" vertical="center"/>
    </xf>
    <xf numFmtId="2" fontId="6" fillId="5" borderId="6" xfId="0" quotePrefix="1" applyNumberFormat="1" applyFont="1" applyFill="1" applyBorder="1" applyAlignment="1">
      <alignment horizontal="center" vertical="center"/>
    </xf>
    <xf numFmtId="2" fontId="6" fillId="5" borderId="8" xfId="0" quotePrefix="1" applyNumberFormat="1" applyFont="1" applyFill="1" applyBorder="1" applyAlignment="1">
      <alignment horizontal="center" vertical="center"/>
    </xf>
    <xf numFmtId="2" fontId="6" fillId="5" borderId="25" xfId="0" quotePrefix="1" applyNumberFormat="1" applyFont="1" applyFill="1" applyBorder="1" applyAlignment="1">
      <alignment horizontal="center" vertical="center"/>
    </xf>
    <xf numFmtId="2" fontId="2" fillId="7" borderId="1" xfId="0" applyNumberFormat="1" applyFont="1" applyFill="1" applyBorder="1" applyAlignment="1">
      <alignment horizontal="center"/>
    </xf>
    <xf numFmtId="2" fontId="6" fillId="13" borderId="6" xfId="0" quotePrefix="1" applyNumberFormat="1" applyFont="1" applyFill="1" applyBorder="1" applyAlignment="1">
      <alignment horizontal="center" vertical="center"/>
    </xf>
    <xf numFmtId="2" fontId="6" fillId="13" borderId="8" xfId="0" quotePrefix="1" applyNumberFormat="1" applyFont="1" applyFill="1" applyBorder="1" applyAlignment="1">
      <alignment horizontal="center" vertical="center"/>
    </xf>
    <xf numFmtId="2" fontId="6" fillId="13" borderId="9" xfId="0" quotePrefix="1" applyNumberFormat="1" applyFont="1" applyFill="1" applyBorder="1" applyAlignment="1">
      <alignment horizontal="center" vertical="center"/>
    </xf>
    <xf numFmtId="2" fontId="6" fillId="13" borderId="10" xfId="0" quotePrefix="1" applyNumberFormat="1" applyFont="1" applyFill="1" applyBorder="1" applyAlignment="1">
      <alignment horizontal="center" vertical="center"/>
    </xf>
    <xf numFmtId="49" fontId="2" fillId="13" borderId="10" xfId="0" applyNumberFormat="1" applyFont="1" applyFill="1" applyBorder="1" applyAlignment="1">
      <alignment horizontal="center" vertical="center"/>
    </xf>
    <xf numFmtId="2" fontId="2" fillId="13" borderId="10" xfId="0" applyNumberFormat="1" applyFont="1" applyFill="1" applyBorder="1" applyAlignment="1">
      <alignment horizontal="center"/>
    </xf>
    <xf numFmtId="2" fontId="6" fillId="13" borderId="15" xfId="0" quotePrefix="1" applyNumberFormat="1" applyFont="1" applyFill="1" applyBorder="1" applyAlignment="1">
      <alignment horizontal="center" vertical="center"/>
    </xf>
    <xf numFmtId="2" fontId="6" fillId="6" borderId="6" xfId="0" quotePrefix="1" applyNumberFormat="1" applyFont="1" applyFill="1" applyBorder="1" applyAlignment="1">
      <alignment horizontal="center" vertical="center"/>
    </xf>
    <xf numFmtId="2" fontId="6" fillId="6" borderId="8" xfId="0" quotePrefix="1" applyNumberFormat="1" applyFont="1" applyFill="1" applyBorder="1" applyAlignment="1">
      <alignment horizontal="center" vertical="center"/>
    </xf>
    <xf numFmtId="2" fontId="6" fillId="7" borderId="6" xfId="0" quotePrefix="1" applyNumberFormat="1" applyFont="1" applyFill="1" applyBorder="1" applyAlignment="1">
      <alignment horizontal="center" vertical="center"/>
    </xf>
    <xf numFmtId="2" fontId="6" fillId="7" borderId="8" xfId="0" quotePrefix="1" applyNumberFormat="1" applyFont="1" applyFill="1" applyBorder="1" applyAlignment="1">
      <alignment horizontal="center" vertical="center"/>
    </xf>
    <xf numFmtId="2" fontId="6" fillId="7" borderId="25" xfId="0" quotePrefix="1" applyNumberFormat="1" applyFont="1" applyFill="1" applyBorder="1" applyAlignment="1">
      <alignment horizontal="center" vertical="center"/>
    </xf>
    <xf numFmtId="2" fontId="6" fillId="6" borderId="25" xfId="0" quotePrefix="1" applyNumberFormat="1" applyFont="1" applyFill="1" applyBorder="1" applyAlignment="1">
      <alignment horizontal="center" vertical="center"/>
    </xf>
    <xf numFmtId="2" fontId="6" fillId="13" borderId="25" xfId="0" quotePrefix="1" applyNumberFormat="1" applyFont="1" applyFill="1" applyBorder="1" applyAlignment="1">
      <alignment horizontal="center" vertical="center"/>
    </xf>
    <xf numFmtId="2" fontId="6" fillId="17" borderId="9" xfId="0" quotePrefix="1" applyNumberFormat="1" applyFont="1" applyFill="1" applyBorder="1" applyAlignment="1">
      <alignment horizontal="center" vertical="center"/>
    </xf>
    <xf numFmtId="2" fontId="6" fillId="17" borderId="10" xfId="0" quotePrefix="1" applyNumberFormat="1" applyFont="1" applyFill="1" applyBorder="1" applyAlignment="1">
      <alignment horizontal="center" vertical="center"/>
    </xf>
    <xf numFmtId="2" fontId="2" fillId="17" borderId="10" xfId="0" applyNumberFormat="1" applyFont="1" applyFill="1" applyBorder="1" applyAlignment="1">
      <alignment horizontal="center"/>
    </xf>
    <xf numFmtId="2" fontId="6" fillId="17" borderId="6" xfId="0" quotePrefix="1" applyNumberFormat="1" applyFont="1" applyFill="1" applyBorder="1" applyAlignment="1">
      <alignment horizontal="center" vertical="center"/>
    </xf>
    <xf numFmtId="2" fontId="6" fillId="17" borderId="8" xfId="0" quotePrefix="1" applyNumberFormat="1" applyFont="1" applyFill="1" applyBorder="1" applyAlignment="1">
      <alignment horizontal="center" vertical="center"/>
    </xf>
    <xf numFmtId="2" fontId="6" fillId="17" borderId="15" xfId="0" quotePrefix="1" applyNumberFormat="1" applyFont="1" applyFill="1" applyBorder="1" applyAlignment="1">
      <alignment horizontal="center" vertical="center"/>
    </xf>
    <xf numFmtId="49" fontId="2" fillId="10" borderId="5" xfId="0" quotePrefix="1" applyNumberFormat="1" applyFont="1" applyFill="1" applyBorder="1" applyAlignment="1">
      <alignment horizontal="center" vertical="center"/>
    </xf>
    <xf numFmtId="0" fontId="2" fillId="10" borderId="1" xfId="0" quotePrefix="1" applyNumberFormat="1" applyFont="1" applyFill="1" applyBorder="1" applyAlignment="1">
      <alignment horizontal="center" vertical="center"/>
    </xf>
    <xf numFmtId="2" fontId="6" fillId="10" borderId="22" xfId="0" quotePrefix="1" applyNumberFormat="1" applyFont="1" applyFill="1" applyBorder="1" applyAlignment="1">
      <alignment horizontal="center" vertical="center"/>
    </xf>
    <xf numFmtId="2" fontId="6" fillId="10" borderId="23" xfId="0" quotePrefix="1" applyNumberFormat="1" applyFont="1" applyFill="1" applyBorder="1" applyAlignment="1">
      <alignment horizontal="center" vertical="center"/>
    </xf>
    <xf numFmtId="0" fontId="6" fillId="10" borderId="23" xfId="0" quotePrefix="1" applyFont="1" applyFill="1" applyBorder="1" applyAlignment="1">
      <alignment horizontal="center" vertical="center" readingOrder="1"/>
    </xf>
    <xf numFmtId="0" fontId="2" fillId="10" borderId="23" xfId="0" applyFont="1" applyFill="1" applyBorder="1" applyAlignment="1">
      <alignment horizontal="center" vertical="center"/>
    </xf>
    <xf numFmtId="49" fontId="2" fillId="10" borderId="23" xfId="0" quotePrefix="1" applyNumberFormat="1" applyFont="1" applyFill="1" applyBorder="1" applyAlignment="1">
      <alignment horizontal="center" vertical="center"/>
    </xf>
    <xf numFmtId="2" fontId="6" fillId="10" borderId="25" xfId="0" quotePrefix="1" applyNumberFormat="1" applyFont="1" applyFill="1" applyBorder="1" applyAlignment="1">
      <alignment horizontal="center" vertical="center"/>
    </xf>
    <xf numFmtId="2" fontId="6" fillId="18" borderId="6" xfId="0" quotePrefix="1" applyNumberFormat="1" applyFont="1" applyFill="1" applyBorder="1" applyAlignment="1">
      <alignment horizontal="center" vertical="center"/>
    </xf>
    <xf numFmtId="2" fontId="6" fillId="3" borderId="25" xfId="0" quotePrefix="1" applyNumberFormat="1" applyFont="1" applyFill="1" applyBorder="1" applyAlignment="1">
      <alignment horizontal="center" vertical="center"/>
    </xf>
    <xf numFmtId="2" fontId="2" fillId="18" borderId="23" xfId="0" applyNumberFormat="1" applyFont="1" applyFill="1" applyBorder="1" applyAlignment="1">
      <alignment horizontal="center"/>
    </xf>
    <xf numFmtId="2" fontId="6" fillId="18" borderId="25" xfId="0" quotePrefix="1" applyNumberFormat="1" applyFont="1" applyFill="1" applyBorder="1" applyAlignment="1">
      <alignment horizontal="center" vertical="center"/>
    </xf>
    <xf numFmtId="2" fontId="6" fillId="4" borderId="25" xfId="0" quotePrefix="1" applyNumberFormat="1" applyFont="1" applyFill="1" applyBorder="1" applyAlignment="1">
      <alignment horizontal="center" vertical="center"/>
    </xf>
    <xf numFmtId="2" fontId="6" fillId="19" borderId="22" xfId="0" quotePrefix="1" applyNumberFormat="1" applyFont="1" applyFill="1" applyBorder="1" applyAlignment="1">
      <alignment horizontal="center" vertical="center"/>
    </xf>
    <xf numFmtId="2" fontId="6" fillId="19" borderId="23" xfId="0" quotePrefix="1" applyNumberFormat="1" applyFont="1" applyFill="1" applyBorder="1" applyAlignment="1">
      <alignment horizontal="center" vertical="center"/>
    </xf>
    <xf numFmtId="0" fontId="6" fillId="19" borderId="23" xfId="0" quotePrefix="1" applyFont="1" applyFill="1" applyBorder="1" applyAlignment="1">
      <alignment horizontal="center" vertical="center" readingOrder="1"/>
    </xf>
    <xf numFmtId="49" fontId="2" fillId="19" borderId="23" xfId="0" applyNumberFormat="1" applyFont="1" applyFill="1" applyBorder="1" applyAlignment="1">
      <alignment horizontal="center" vertical="center"/>
    </xf>
    <xf numFmtId="2" fontId="2" fillId="19" borderId="23" xfId="0" applyNumberFormat="1" applyFont="1" applyFill="1" applyBorder="1" applyAlignment="1">
      <alignment horizontal="center"/>
    </xf>
    <xf numFmtId="2" fontId="6" fillId="19" borderId="25" xfId="0" quotePrefix="1" applyNumberFormat="1" applyFont="1" applyFill="1" applyBorder="1" applyAlignment="1">
      <alignment horizontal="center" vertical="center"/>
    </xf>
    <xf numFmtId="2" fontId="6" fillId="4" borderId="18" xfId="0" quotePrefix="1" applyNumberFormat="1" applyFont="1" applyFill="1" applyBorder="1" applyAlignment="1">
      <alignment horizontal="center" vertical="center"/>
    </xf>
    <xf numFmtId="2" fontId="6" fillId="4" borderId="19" xfId="0" quotePrefix="1" applyNumberFormat="1" applyFont="1" applyFill="1" applyBorder="1" applyAlignment="1">
      <alignment horizontal="center" vertical="center"/>
    </xf>
    <xf numFmtId="0" fontId="6" fillId="4" borderId="19" xfId="0" quotePrefix="1" applyFont="1" applyFill="1" applyBorder="1" applyAlignment="1">
      <alignment horizontal="center" vertical="center" readingOrder="1"/>
    </xf>
    <xf numFmtId="0" fontId="2" fillId="4" borderId="19" xfId="0" applyFont="1" applyFill="1" applyBorder="1" applyAlignment="1">
      <alignment horizontal="center" vertical="center"/>
    </xf>
    <xf numFmtId="49" fontId="2" fillId="4" borderId="19" xfId="0" applyNumberFormat="1" applyFont="1" applyFill="1" applyBorder="1" applyAlignment="1">
      <alignment horizontal="center" vertical="center"/>
    </xf>
    <xf numFmtId="2" fontId="2" fillId="4" borderId="19" xfId="0" applyNumberFormat="1" applyFont="1" applyFill="1" applyBorder="1" applyAlignment="1">
      <alignment horizontal="center"/>
    </xf>
    <xf numFmtId="2" fontId="6" fillId="4" borderId="16" xfId="0" quotePrefix="1" applyNumberFormat="1" applyFont="1" applyFill="1" applyBorder="1" applyAlignment="1">
      <alignment horizontal="center" vertical="center"/>
    </xf>
    <xf numFmtId="0" fontId="2" fillId="0" borderId="0" xfId="0" applyNumberFormat="1" applyFont="1" applyBorder="1"/>
    <xf numFmtId="0" fontId="2" fillId="0" borderId="0" xfId="0" applyNumberFormat="1" applyFont="1"/>
    <xf numFmtId="0" fontId="2" fillId="9" borderId="3" xfId="0" applyNumberFormat="1" applyFont="1" applyFill="1" applyBorder="1" applyAlignment="1">
      <alignment horizontal="center" vertical="center"/>
    </xf>
    <xf numFmtId="0" fontId="2" fillId="9" borderId="21" xfId="0" applyNumberFormat="1" applyFont="1" applyFill="1" applyBorder="1" applyAlignment="1">
      <alignment horizontal="center" vertical="center"/>
    </xf>
    <xf numFmtId="0" fontId="0" fillId="9" borderId="21" xfId="0" applyNumberFormat="1" applyFont="1" applyFill="1" applyBorder="1" applyAlignment="1">
      <alignment horizontal="center" vertical="center"/>
    </xf>
    <xf numFmtId="49" fontId="0" fillId="0" borderId="4" xfId="0" applyNumberFormat="1" applyFont="1" applyFill="1" applyBorder="1" applyAlignment="1">
      <alignment horizontal="center" vertical="center"/>
    </xf>
    <xf numFmtId="49" fontId="0" fillId="0" borderId="5" xfId="0" applyNumberFormat="1" applyFont="1" applyFill="1" applyBorder="1" applyAlignment="1">
      <alignment horizontal="center" vertical="center"/>
    </xf>
    <xf numFmtId="0" fontId="0" fillId="0" borderId="5" xfId="0" applyFont="1" applyFill="1" applyBorder="1" applyAlignment="1">
      <alignment horizontal="center" vertical="center"/>
    </xf>
    <xf numFmtId="0" fontId="0" fillId="0" borderId="6" xfId="0" applyFont="1" applyFill="1" applyBorder="1" applyAlignment="1">
      <alignment horizontal="center" vertical="center"/>
    </xf>
    <xf numFmtId="49" fontId="0" fillId="0" borderId="7" xfId="0" applyNumberFormat="1" applyFont="1" applyFill="1" applyBorder="1" applyAlignment="1">
      <alignment horizontal="center" vertical="center"/>
    </xf>
    <xf numFmtId="49" fontId="0" fillId="0" borderId="1" xfId="0" applyNumberFormat="1" applyFont="1" applyFill="1" applyBorder="1" applyAlignment="1">
      <alignment horizontal="center" vertical="center"/>
    </xf>
    <xf numFmtId="0" fontId="0" fillId="0" borderId="1" xfId="0" applyFont="1" applyFill="1" applyBorder="1" applyAlignment="1">
      <alignment horizontal="center" vertical="center"/>
    </xf>
    <xf numFmtId="0" fontId="0" fillId="0" borderId="8" xfId="0" applyFont="1" applyFill="1" applyBorder="1" applyAlignment="1">
      <alignment horizontal="center" vertical="center"/>
    </xf>
    <xf numFmtId="49" fontId="0" fillId="0" borderId="9" xfId="0" applyNumberFormat="1" applyFont="1" applyFill="1" applyBorder="1" applyAlignment="1">
      <alignment horizontal="center" vertical="center"/>
    </xf>
    <xf numFmtId="49" fontId="0" fillId="0" borderId="10" xfId="0" applyNumberFormat="1" applyFont="1" applyFill="1" applyBorder="1" applyAlignment="1">
      <alignment horizontal="center" vertical="center"/>
    </xf>
    <xf numFmtId="0" fontId="0" fillId="0" borderId="10" xfId="0" applyFont="1" applyFill="1" applyBorder="1" applyAlignment="1">
      <alignment horizontal="center" vertical="center"/>
    </xf>
    <xf numFmtId="0" fontId="0" fillId="0" borderId="15" xfId="0" applyFont="1" applyFill="1" applyBorder="1" applyAlignment="1">
      <alignment horizontal="center" vertical="center"/>
    </xf>
    <xf numFmtId="0" fontId="0" fillId="0" borderId="7" xfId="0" applyFont="1" applyFill="1" applyBorder="1" applyAlignment="1">
      <alignment horizontal="left" vertical="center"/>
    </xf>
    <xf numFmtId="0" fontId="0" fillId="0" borderId="1" xfId="0" applyFont="1" applyFill="1" applyBorder="1" applyAlignment="1">
      <alignment horizontal="left" vertical="center"/>
    </xf>
    <xf numFmtId="0" fontId="0" fillId="0" borderId="9" xfId="0" applyFont="1" applyFill="1" applyBorder="1" applyAlignment="1">
      <alignment horizontal="left" vertical="center"/>
    </xf>
    <xf numFmtId="0" fontId="0" fillId="0" borderId="10" xfId="0" applyFont="1" applyFill="1" applyBorder="1" applyAlignment="1">
      <alignment horizontal="left" vertical="center"/>
    </xf>
    <xf numFmtId="0" fontId="9" fillId="2" borderId="23" xfId="0" applyFont="1" applyFill="1" applyBorder="1" applyProtection="1">
      <protection locked="0"/>
    </xf>
    <xf numFmtId="0" fontId="2" fillId="0" borderId="0" xfId="0" applyFont="1" applyBorder="1" applyAlignment="1">
      <alignment horizontal="center" vertical="center"/>
    </xf>
    <xf numFmtId="0" fontId="0" fillId="0" borderId="0" xfId="0" applyFont="1" applyAlignment="1">
      <alignment horizontal="center" vertical="center"/>
    </xf>
    <xf numFmtId="0" fontId="0" fillId="0" borderId="0" xfId="0" pivotButton="1" applyAlignment="1">
      <alignment horizontal="center" vertical="center"/>
    </xf>
    <xf numFmtId="0" fontId="0" fillId="0" borderId="0" xfId="0" applyAlignment="1">
      <alignment horizontal="center" vertical="center"/>
    </xf>
    <xf numFmtId="0" fontId="2" fillId="11" borderId="1" xfId="0" quotePrefix="1" applyFont="1" applyFill="1" applyBorder="1" applyAlignment="1">
      <alignment horizontal="center" vertical="center"/>
    </xf>
    <xf numFmtId="0" fontId="2" fillId="8" borderId="23" xfId="0" quotePrefix="1" applyFont="1" applyFill="1" applyBorder="1" applyAlignment="1">
      <alignment horizontal="center" vertical="center"/>
    </xf>
    <xf numFmtId="0" fontId="2" fillId="3" borderId="1" xfId="0" quotePrefix="1" applyFont="1" applyFill="1" applyBorder="1" applyAlignment="1">
      <alignment horizontal="center" vertical="center"/>
    </xf>
    <xf numFmtId="0" fontId="2" fillId="19" borderId="1" xfId="0" quotePrefix="1" applyFont="1" applyFill="1" applyBorder="1" applyAlignment="1">
      <alignment horizontal="center" vertical="center"/>
    </xf>
    <xf numFmtId="0" fontId="2" fillId="4" borderId="1" xfId="0" quotePrefix="1" applyFont="1" applyFill="1" applyBorder="1" applyAlignment="1">
      <alignment horizontal="center" vertical="center"/>
    </xf>
    <xf numFmtId="0" fontId="2" fillId="17" borderId="1" xfId="0" quotePrefix="1" applyFont="1" applyFill="1" applyBorder="1" applyAlignment="1">
      <alignment horizontal="center" vertical="center"/>
    </xf>
    <xf numFmtId="49" fontId="2" fillId="16" borderId="5" xfId="0" quotePrefix="1" applyNumberFormat="1" applyFont="1" applyFill="1" applyBorder="1" applyAlignment="1">
      <alignment horizontal="center" vertical="center"/>
    </xf>
    <xf numFmtId="49" fontId="2" fillId="14" borderId="5" xfId="0" quotePrefix="1" applyNumberFormat="1" applyFont="1" applyFill="1" applyBorder="1" applyAlignment="1">
      <alignment horizontal="center" vertical="center"/>
    </xf>
    <xf numFmtId="0" fontId="6" fillId="2" borderId="5" xfId="0" quotePrefix="1" applyNumberFormat="1" applyFont="1" applyFill="1" applyBorder="1" applyAlignment="1">
      <alignment horizontal="center" vertical="center" readingOrder="1"/>
    </xf>
    <xf numFmtId="0" fontId="2" fillId="16" borderId="5" xfId="0" quotePrefix="1" applyFont="1" applyFill="1" applyBorder="1" applyAlignment="1">
      <alignment horizontal="center" vertical="center"/>
    </xf>
    <xf numFmtId="0" fontId="2" fillId="14" borderId="5" xfId="0" quotePrefix="1" applyFont="1" applyFill="1" applyBorder="1" applyAlignment="1">
      <alignment horizontal="center" vertical="center"/>
    </xf>
    <xf numFmtId="49" fontId="2" fillId="6" borderId="23" xfId="0" quotePrefix="1" applyNumberFormat="1" applyFont="1" applyFill="1" applyBorder="1" applyAlignment="1">
      <alignment horizontal="center" vertical="center"/>
    </xf>
    <xf numFmtId="49" fontId="2" fillId="17" borderId="10" xfId="0" quotePrefix="1" applyNumberFormat="1" applyFont="1" applyFill="1" applyBorder="1" applyAlignment="1">
      <alignment horizontal="center" vertical="center"/>
    </xf>
    <xf numFmtId="2" fontId="2" fillId="6" borderId="1" xfId="0" applyNumberFormat="1" applyFont="1" applyFill="1" applyBorder="1" applyAlignment="1">
      <alignment horizontal="center" vertical="center"/>
    </xf>
    <xf numFmtId="2" fontId="2" fillId="17" borderId="1" xfId="0" applyNumberFormat="1" applyFont="1" applyFill="1" applyBorder="1" applyAlignment="1">
      <alignment horizontal="center" vertical="center"/>
    </xf>
    <xf numFmtId="9" fontId="9" fillId="8" borderId="17" xfId="1" applyFont="1" applyFill="1" applyBorder="1" applyAlignment="1" applyProtection="1">
      <alignment horizontal="center" vertical="center"/>
      <protection locked="0"/>
    </xf>
    <xf numFmtId="0" fontId="2" fillId="8" borderId="14" xfId="0" applyFont="1" applyFill="1" applyBorder="1" applyProtection="1">
      <protection locked="0"/>
    </xf>
    <xf numFmtId="0" fontId="9" fillId="8" borderId="14" xfId="0" applyFont="1" applyFill="1" applyBorder="1" applyAlignment="1" applyProtection="1">
      <alignment horizontal="center" vertical="center"/>
      <protection locked="0"/>
    </xf>
    <xf numFmtId="0" fontId="9" fillId="8" borderId="14" xfId="0" applyFont="1" applyFill="1" applyBorder="1" applyAlignment="1" applyProtection="1">
      <alignment horizontal="left" vertical="center"/>
      <protection locked="0"/>
    </xf>
    <xf numFmtId="2" fontId="9" fillId="8" borderId="14" xfId="0" applyNumberFormat="1" applyFont="1" applyFill="1" applyBorder="1" applyAlignment="1" applyProtection="1">
      <alignment horizontal="center" vertical="center"/>
      <protection locked="0"/>
    </xf>
    <xf numFmtId="0" fontId="9" fillId="16" borderId="19" xfId="0" applyFont="1" applyFill="1" applyBorder="1" applyProtection="1">
      <protection locked="0"/>
    </xf>
    <xf numFmtId="0" fontId="9" fillId="16" borderId="19" xfId="0" applyFont="1" applyFill="1" applyBorder="1" applyAlignment="1" applyProtection="1">
      <alignment horizontal="center" vertical="center"/>
      <protection locked="0"/>
    </xf>
    <xf numFmtId="0" fontId="9" fillId="16" borderId="19" xfId="0" applyFont="1" applyFill="1" applyBorder="1" applyAlignment="1" applyProtection="1">
      <alignment horizontal="left" vertical="center"/>
      <protection locked="0"/>
    </xf>
    <xf numFmtId="9" fontId="9" fillId="16" borderId="16" xfId="1" applyFont="1" applyFill="1" applyBorder="1" applyAlignment="1" applyProtection="1">
      <alignment horizontal="center" vertical="center"/>
      <protection locked="0"/>
    </xf>
    <xf numFmtId="0" fontId="0" fillId="0" borderId="0" xfId="0" applyFont="1" applyFill="1" applyBorder="1" applyAlignment="1">
      <alignment horizontal="left" vertical="center"/>
    </xf>
    <xf numFmtId="2" fontId="0" fillId="0" borderId="0" xfId="0" applyNumberFormat="1" applyAlignment="1">
      <alignment horizontal="center" vertical="center"/>
    </xf>
    <xf numFmtId="2" fontId="0" fillId="0" borderId="8" xfId="0" applyNumberFormat="1" applyFont="1" applyFill="1" applyBorder="1" applyAlignment="1">
      <alignment horizontal="center" vertical="center"/>
    </xf>
    <xf numFmtId="2" fontId="0" fillId="0" borderId="15" xfId="0" applyNumberFormat="1" applyFont="1" applyFill="1" applyBorder="1" applyAlignment="1">
      <alignment horizontal="center" vertical="center"/>
    </xf>
    <xf numFmtId="0" fontId="0" fillId="0" borderId="26" xfId="0" applyFont="1" applyFill="1" applyBorder="1" applyAlignment="1">
      <alignment horizontal="left" vertical="center"/>
    </xf>
    <xf numFmtId="0" fontId="0" fillId="0" borderId="14" xfId="0" applyFont="1" applyFill="1" applyBorder="1" applyAlignment="1">
      <alignment horizontal="left" vertical="center"/>
    </xf>
    <xf numFmtId="0" fontId="0" fillId="0" borderId="14" xfId="0" applyFont="1" applyFill="1" applyBorder="1" applyAlignment="1">
      <alignment horizontal="center" vertical="center"/>
    </xf>
    <xf numFmtId="2" fontId="0" fillId="0" borderId="17" xfId="0" applyNumberFormat="1" applyFont="1" applyFill="1" applyBorder="1" applyAlignment="1">
      <alignment horizontal="center" vertical="center"/>
    </xf>
    <xf numFmtId="0" fontId="0" fillId="9" borderId="34" xfId="0" applyFont="1" applyFill="1" applyBorder="1" applyAlignment="1">
      <alignment horizontal="center" vertical="center"/>
    </xf>
    <xf numFmtId="0" fontId="9" fillId="20" borderId="4" xfId="0" applyFont="1" applyFill="1" applyBorder="1" applyAlignment="1" applyProtection="1">
      <alignment horizontal="center" vertical="center"/>
      <protection locked="0"/>
    </xf>
    <xf numFmtId="0" fontId="9" fillId="20" borderId="7" xfId="0" applyFont="1" applyFill="1" applyBorder="1" applyAlignment="1" applyProtection="1">
      <alignment horizontal="center" vertical="center"/>
      <protection locked="0"/>
    </xf>
    <xf numFmtId="0" fontId="9" fillId="20" borderId="9" xfId="0" applyFont="1" applyFill="1" applyBorder="1" applyAlignment="1" applyProtection="1">
      <alignment horizontal="center" vertical="center"/>
      <protection locked="0"/>
    </xf>
    <xf numFmtId="0" fontId="9" fillId="20" borderId="26" xfId="0" applyFont="1" applyFill="1" applyBorder="1" applyAlignment="1" applyProtection="1">
      <alignment horizontal="center" vertical="center"/>
      <protection locked="0"/>
    </xf>
    <xf numFmtId="0" fontId="9" fillId="20" borderId="22" xfId="0" applyFont="1" applyFill="1" applyBorder="1" applyAlignment="1" applyProtection="1">
      <alignment horizontal="center" vertical="center"/>
      <protection locked="0"/>
    </xf>
    <xf numFmtId="0" fontId="10" fillId="15" borderId="1" xfId="0" applyFont="1" applyFill="1" applyBorder="1" applyAlignment="1" applyProtection="1">
      <alignment horizontal="left" vertical="center"/>
      <protection locked="0"/>
    </xf>
    <xf numFmtId="0" fontId="10" fillId="15" borderId="1" xfId="0" applyFont="1" applyFill="1" applyBorder="1" applyAlignment="1" applyProtection="1">
      <alignment horizontal="center" vertical="center"/>
      <protection locked="0"/>
    </xf>
    <xf numFmtId="0" fontId="9" fillId="20" borderId="29" xfId="0" applyFont="1" applyFill="1" applyBorder="1" applyAlignment="1" applyProtection="1">
      <alignment horizontal="center" vertical="center"/>
      <protection locked="0"/>
    </xf>
    <xf numFmtId="0" fontId="10" fillId="15" borderId="7" xfId="0" applyFont="1" applyFill="1" applyBorder="1" applyAlignment="1" applyProtection="1">
      <alignment horizontal="center" vertical="center"/>
      <protection locked="0"/>
    </xf>
    <xf numFmtId="0" fontId="10" fillId="20" borderId="7" xfId="0" applyFont="1" applyFill="1" applyBorder="1" applyAlignment="1" applyProtection="1">
      <alignment horizontal="center" vertical="center"/>
      <protection locked="0"/>
    </xf>
    <xf numFmtId="0" fontId="2" fillId="15" borderId="7" xfId="0" applyFont="1" applyFill="1" applyBorder="1" applyAlignment="1" applyProtection="1">
      <alignment horizontal="center" vertical="center"/>
      <protection locked="0"/>
    </xf>
    <xf numFmtId="0" fontId="2" fillId="15" borderId="22" xfId="0" applyFont="1" applyFill="1" applyBorder="1" applyAlignment="1" applyProtection="1">
      <alignment horizontal="center" vertical="center"/>
      <protection locked="0"/>
    </xf>
    <xf numFmtId="49" fontId="11" fillId="15" borderId="1" xfId="0" quotePrefix="1" applyNumberFormat="1" applyFont="1" applyFill="1" applyBorder="1" applyAlignment="1">
      <alignment horizontal="center" vertical="center" readingOrder="1"/>
    </xf>
    <xf numFmtId="0" fontId="10" fillId="20" borderId="4" xfId="0" applyFont="1" applyFill="1" applyBorder="1" applyAlignment="1" applyProtection="1">
      <alignment horizontal="center" vertical="center"/>
      <protection locked="0"/>
    </xf>
    <xf numFmtId="0" fontId="10" fillId="2" borderId="1" xfId="0" applyNumberFormat="1" applyFont="1" applyFill="1" applyBorder="1" applyAlignment="1" applyProtection="1">
      <alignment horizontal="center" vertical="center"/>
      <protection locked="0"/>
    </xf>
    <xf numFmtId="0" fontId="2" fillId="20" borderId="7" xfId="0" applyFont="1" applyFill="1" applyBorder="1" applyAlignment="1" applyProtection="1">
      <alignment horizontal="center" vertical="center"/>
      <protection locked="0"/>
    </xf>
    <xf numFmtId="2" fontId="10" fillId="15" borderId="5" xfId="0" applyNumberFormat="1" applyFont="1" applyFill="1" applyBorder="1" applyAlignment="1" applyProtection="1">
      <alignment horizontal="center" vertical="center"/>
      <protection locked="0"/>
    </xf>
    <xf numFmtId="0" fontId="2" fillId="21" borderId="4" xfId="0" applyFont="1" applyFill="1" applyBorder="1" applyAlignment="1" applyProtection="1">
      <alignment horizontal="center" vertical="center"/>
      <protection locked="0"/>
    </xf>
    <xf numFmtId="0" fontId="10" fillId="11" borderId="7" xfId="0" applyFont="1" applyFill="1" applyBorder="1" applyAlignment="1" applyProtection="1">
      <alignment horizontal="center" vertical="center"/>
      <protection locked="0"/>
    </xf>
    <xf numFmtId="0" fontId="9" fillId="20" borderId="18" xfId="0" applyFont="1" applyFill="1" applyBorder="1" applyAlignment="1" applyProtection="1">
      <alignment horizontal="center" vertical="center"/>
      <protection locked="0"/>
    </xf>
    <xf numFmtId="0" fontId="10" fillId="8" borderId="7" xfId="0" applyFont="1" applyFill="1" applyBorder="1" applyAlignment="1" applyProtection="1">
      <alignment horizontal="center" vertical="center"/>
      <protection locked="0"/>
    </xf>
    <xf numFmtId="0" fontId="10" fillId="8" borderId="4" xfId="0" applyFont="1" applyFill="1" applyBorder="1" applyAlignment="1" applyProtection="1">
      <alignment horizontal="center" vertical="center"/>
      <protection locked="0"/>
    </xf>
    <xf numFmtId="2" fontId="10" fillId="8" borderId="1" xfId="0" applyNumberFormat="1" applyFont="1" applyFill="1" applyBorder="1" applyAlignment="1" applyProtection="1">
      <alignment horizontal="center" vertical="center"/>
      <protection locked="0"/>
    </xf>
    <xf numFmtId="0" fontId="10" fillId="8" borderId="1" xfId="0" applyFont="1" applyFill="1" applyBorder="1" applyAlignment="1" applyProtection="1">
      <alignment horizontal="center" vertical="center"/>
      <protection locked="0"/>
    </xf>
    <xf numFmtId="0" fontId="10" fillId="14" borderId="1" xfId="0" applyFont="1" applyFill="1" applyBorder="1" applyAlignment="1" applyProtection="1">
      <alignment horizontal="center" vertical="center"/>
      <protection locked="0"/>
    </xf>
    <xf numFmtId="0" fontId="10" fillId="14" borderId="7" xfId="0" applyFont="1" applyFill="1" applyBorder="1" applyAlignment="1" applyProtection="1">
      <alignment horizontal="center" vertical="center"/>
      <protection locked="0"/>
    </xf>
    <xf numFmtId="0" fontId="10" fillId="8" borderId="5" xfId="0" applyFont="1" applyFill="1" applyBorder="1" applyAlignment="1" applyProtection="1">
      <alignment horizontal="center" vertical="center"/>
      <protection locked="0"/>
    </xf>
    <xf numFmtId="0" fontId="10" fillId="8" borderId="22" xfId="0" applyFont="1" applyFill="1" applyBorder="1" applyAlignment="1" applyProtection="1">
      <alignment horizontal="center" vertical="center"/>
      <protection locked="0"/>
    </xf>
    <xf numFmtId="0" fontId="10" fillId="7" borderId="7" xfId="0" applyFont="1" applyFill="1" applyBorder="1" applyAlignment="1" applyProtection="1">
      <alignment horizontal="center" vertical="center"/>
      <protection locked="0"/>
    </xf>
    <xf numFmtId="0" fontId="10" fillId="7" borderId="22" xfId="0" applyFont="1" applyFill="1" applyBorder="1" applyAlignment="1" applyProtection="1">
      <alignment horizontal="center" vertical="center"/>
      <protection locked="0"/>
    </xf>
    <xf numFmtId="0" fontId="10" fillId="6" borderId="7" xfId="0" applyFont="1" applyFill="1" applyBorder="1" applyAlignment="1" applyProtection="1">
      <alignment horizontal="center" vertical="center"/>
      <protection locked="0"/>
    </xf>
    <xf numFmtId="0" fontId="10" fillId="6" borderId="22" xfId="0" applyFont="1" applyFill="1" applyBorder="1" applyAlignment="1" applyProtection="1">
      <alignment horizontal="center" vertical="center"/>
      <protection locked="0"/>
    </xf>
    <xf numFmtId="0" fontId="10" fillId="13" borderId="1" xfId="0" applyFont="1" applyFill="1" applyBorder="1" applyAlignment="1">
      <alignment horizontal="center" vertical="center"/>
    </xf>
    <xf numFmtId="0" fontId="10" fillId="17" borderId="7" xfId="0" applyFont="1" applyFill="1" applyBorder="1" applyAlignment="1" applyProtection="1">
      <alignment horizontal="center" vertical="center"/>
      <protection locked="0"/>
    </xf>
    <xf numFmtId="0" fontId="10" fillId="17" borderId="22" xfId="0" applyFont="1" applyFill="1" applyBorder="1" applyAlignment="1" applyProtection="1">
      <alignment horizontal="center" vertical="center"/>
      <protection locked="0"/>
    </xf>
    <xf numFmtId="0" fontId="10" fillId="19" borderId="1" xfId="0" applyFont="1" applyFill="1" applyBorder="1" applyAlignment="1">
      <alignment horizontal="center" vertical="center"/>
    </xf>
    <xf numFmtId="0" fontId="10" fillId="19" borderId="7" xfId="0" applyFont="1" applyFill="1" applyBorder="1" applyAlignment="1" applyProtection="1">
      <alignment horizontal="center" vertical="center"/>
      <protection locked="0"/>
    </xf>
    <xf numFmtId="0" fontId="10" fillId="19" borderId="10" xfId="0" applyFont="1" applyFill="1" applyBorder="1" applyAlignment="1">
      <alignment horizontal="left" vertical="center"/>
    </xf>
    <xf numFmtId="0" fontId="10" fillId="4" borderId="27" xfId="0" applyFont="1" applyFill="1" applyBorder="1" applyAlignment="1">
      <alignment horizontal="center" vertical="center"/>
    </xf>
    <xf numFmtId="0" fontId="2" fillId="0" borderId="0" xfId="0" applyFont="1" applyFill="1" applyBorder="1" applyAlignment="1" applyProtection="1">
      <alignment horizontal="left" vertical="center"/>
      <protection locked="0"/>
    </xf>
  </cellXfs>
  <cellStyles count="2">
    <cellStyle name="Normal" xfId="0" builtinId="0"/>
    <cellStyle name="Percent" xfId="1" builtinId="5"/>
  </cellStyles>
  <dxfs count="414">
    <dxf>
      <numFmt numFmtId="2" formatCode="0.00"/>
    </dxf>
    <dxf>
      <numFmt numFmtId="164" formatCode="0.000"/>
    </dxf>
    <dxf>
      <numFmt numFmtId="165" formatCode="0.0000"/>
    </dxf>
    <dxf>
      <numFmt numFmtId="166" formatCode="0.0000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horizont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  <dxf>
      <alignment vertical="center" readingOrder="0"/>
    </dxf>
  </dxfs>
  <tableStyles count="0" defaultTableStyle="TableStyleMedium2" defaultPivotStyle="PivotStyleMedium9"/>
  <colors>
    <mruColors>
      <color rgb="FFFFFFCC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r:id="rId1" refreshedBy="Author" refreshedDate="44502.476482754631" createdVersion="6" refreshedVersion="6" minRefreshableVersion="3" recordCount="196">
  <cacheSource type="worksheet">
    <worksheetSource ref="AE7:AM203" sheet="BOM"/>
  </cacheSource>
  <cacheFields count="9">
    <cacheField name="Part Code" numFmtId="2">
      <sharedItems/>
    </cacheField>
    <cacheField name="Part" numFmtId="2">
      <sharedItems/>
    </cacheField>
    <cacheField name="Material" numFmtId="0">
      <sharedItems/>
    </cacheField>
    <cacheField name="Standard" numFmtId="0">
      <sharedItems count="50">
        <s v="C.R.P"/>
        <s v="St-37"/>
        <s v="H.D.G"/>
        <s v="M8x20-5.6-Electroplated-Din 933"/>
        <s v="M6-5-Electroplated-Din 934"/>
        <s v="A8-F-Electroplated-Din 127"/>
        <s v="A-36"/>
        <s v="M1/4&quot;x30-5.6-Electroplated-Din 7983"/>
        <s v="M1/4&quot;x10-5.6-Electroplated-Din 7983"/>
        <s v="M6x100-5.6-Electroplated-Din 933"/>
        <s v="PPI 45"/>
        <s v="M14x140-5.6-Electroplated-Din 933"/>
        <s v="M14-5-Electroplated-Din 934"/>
        <s v="A14-F-Electroplated-Din 127"/>
        <s v="A-53-1/2&quot;-Sch30"/>
        <s v="M8x30-5.6-Electroplated-Din 933"/>
        <s v="M8-5-Electroplated-Din 934"/>
        <s v="M10x30-5.6-Electroplated-Din 933"/>
        <s v="M10-5-Electroplated-Din 934"/>
        <s v="A10-F-Electroplated-Din 127"/>
        <s v="-"/>
        <s v="M6x20-5.6-Electroplated-Din 933"/>
        <s v="UCP-212"/>
        <s v="M18x70-5.6-Electroplated-Din 933"/>
        <s v="M18-5-Electroplated-Din 934"/>
        <s v="A18x35-S-Electroplated-Din 126"/>
        <s v="A18-F-Electroplated-Din 127"/>
        <s v="M14x50-5.6-Electroplated-Din 933"/>
        <s v="M8x80-5.6-Electroplated-Din 933"/>
        <s v="8x80"/>
        <s v="A-36-Ø14x303"/>
        <s v="M14x90-5.6-Electroplated-Din 933"/>
        <s v="A14x30-S-Electroplated-Din 126"/>
        <s v="2.6x30---Electroplated-Din 94"/>
        <s v="M1/4&quot;x25-5.6-Electroplated-Din 7983"/>
        <s v="M1/4&quot;-5-Electroplated-Din 555"/>
        <s v="PE"/>
        <s v="M12x100-5.6-Electroplated-Din 931"/>
        <s v="M12-5-Electroplated-Din 934"/>
        <s v="A12-S-Electroplated-Din 126"/>
        <s v="Casted Iron"/>
        <s v="A8x30-S-Electroplated-Din 126"/>
        <s v="0.37 kw"/>
        <s v="A8x20-S-Electroplated-Din126"/>
        <s v="A-36-1/2&quot;-Sch30" u="1"/>
        <s v="M14-5-Electroplated-Din 933" u="1"/>
        <s v="A18-S-Electroplated-Din 126" u="1"/>
        <s v="M6-5.6-Electroplated-Din 934" u="1"/>
        <s v="M14x40-5.6-Electroplated-Din 933" u="1"/>
        <s v="A8-S-Electroplated-Din 126" u="1"/>
      </sharedItems>
    </cacheField>
    <cacheField name="کاردکس انبار" numFmtId="0">
      <sharedItems count="65">
        <s v="ورق روغنی 1000*1.5"/>
        <s v="ورق سیاه 1250*4"/>
        <s v="ورق گالوانیزه 1000*2"/>
        <s v="پیچ تمام حدیده M8*20"/>
        <s v="مهره دنده درشت M6"/>
        <s v="واشر فنری 8"/>
        <s v="تسمه نوار خاردار خام "/>
        <s v="پیچ سرگرد دوسو 30*1/4"/>
        <s v="ورق گالوانیزه 1000*1.5"/>
        <s v="تسمه گالوانیزه عرض 32 میلیمتر"/>
        <s v="نبشی آهن 30*30"/>
        <s v="پیچ سرگرد دوسو 10*1/4"/>
        <s v="پیچ تمام حدیده M6*100"/>
        <s v="اسفنجی فیلتر هوا مشکی PPI45"/>
        <s v="میلگرد آهن 65"/>
        <s v="ورق سیاه 1500*10"/>
        <s v="پیچ تمام حدیده M14*140"/>
        <s v="مهره دنده درشت M14"/>
        <s v="واشر فنری 14"/>
        <s v="لوله آهن گازی &quot;1/2"/>
        <s v="ورق سیاه 1500*8"/>
        <s v="پیچ تمام حدیده M8*30"/>
        <s v="مهره دنده درشت M8"/>
        <s v="پیچ تمام حدیده M10*30"/>
        <s v="مهره دنده درشت M10"/>
        <s v="واشر فنری 10"/>
        <s v="ناودانی آهن 40"/>
        <s v="لاستیک نخ دار خام"/>
        <s v="پیچ تمام حدیده M6*20"/>
        <s v="ورق سیاه 1500*20"/>
        <s v="یاتاقان بلبرینگ پایه دار UCP212 "/>
        <s v="پیچ تمام حدیده M18*70"/>
        <s v="مهره دنده درشت M18"/>
        <s v="واشر تخت 35*18"/>
        <s v="واشر فنری 18"/>
        <s v="پیچ تمام حدیده M14*50"/>
        <s v="پیچ تمام حدیده M8*80"/>
        <s v="رولپلاگ"/>
        <s v="قوطی آهن 70*70"/>
        <s v="ورق سیاه 1250*3"/>
        <s v="نبشی آهن 40*40"/>
        <s v="شفت تمام حدیده M14"/>
        <s v="پیچ تمام حدیده M14*90"/>
        <s v="واشر تخت 30*14"/>
        <s v="اشپیل 3"/>
        <s v="پیچ ورشو تمام حدیده"/>
        <s v="مهره چهار گوش"/>
        <s v="میلگرد پلی اتیلن سفید 65"/>
        <s v="بلبرینگ 6201"/>
        <s v="پیچ 1/3 حدیده  M12*100"/>
        <s v="مهره دنده درشت M12"/>
        <s v="واشر تخت 30*10"/>
        <s v="پولی چدنی گیربکس روتاری هوا خام"/>
        <s v="میلگرد آهن 35"/>
        <s v="میل چهارگوش آهن 6*6"/>
        <s v="واشر تخت 30*8"/>
        <s v="تسمه سبز روتاری2000"/>
        <s v="الکتروگیربکس روتاری هوا 0.37 kw*1450rpm"/>
        <s v="واشر تخت 20*8"/>
        <s v="ورق گالوانیزه 1250*2" u="1"/>
        <s v="تسمه سبز روتاری هوا 1500 (3380*20)" u="1"/>
        <s v="ورق گالوانیزه *1000" u="1"/>
        <s v="تسمه نوار خاردار خام" u="1"/>
        <s v="پیچ شش گوش تمام حدیده" u="1"/>
        <s v="مهره شش گوش" u="1"/>
      </sharedItems>
    </cacheField>
    <cacheField name="MATWHC" numFmtId="0">
      <sharedItems count="67">
        <s v="000110150100"/>
        <s v="000130400125"/>
        <s v="000140200100"/>
        <s v="000011010820"/>
        <s v="000012010006"/>
        <s v="000012111008"/>
        <s v="000952000015"/>
        <s v="000013081430"/>
        <s v="000140150100"/>
        <s v="000069040014"/>
        <s v="000221030303"/>
        <s v="000013081410"/>
        <s v="000011010695"/>
        <s v="000952000027"/>
        <s v="000251100065"/>
        <s v="000131000150"/>
        <s v="000011011497"/>
        <s v="000012010014"/>
        <s v="000012111014"/>
        <s v="271100030012"/>
        <s v="000130800150"/>
        <s v="000011010830"/>
        <s v="000012010008"/>
        <s v="000011011030"/>
        <s v="000012010010"/>
        <s v="000012111010"/>
        <s v="000291000040"/>
        <s v="00048240001"/>
        <s v="000011010620"/>
        <s v="000132000150"/>
        <s v="000200500060"/>
        <s v="000011011870"/>
        <s v="000012010018"/>
        <s v="000012101830"/>
        <s v="000012111018"/>
        <s v="000011011450"/>
        <s v="000013060880"/>
        <s v="000013070880"/>
        <s v="000231070070"/>
        <s v="000130300125"/>
        <s v="000221040404"/>
        <s v="000039240014"/>
        <s v="000011011490"/>
        <s v="000012101430"/>
        <s v="000013300003"/>
        <s v="000013081425"/>
        <s v="0000120901/4"/>
        <s v="000259110065"/>
        <s v="000020016201"/>
        <s v="000011051295"/>
        <s v="000012010012"/>
        <s v="000952000028"/>
        <s v="0000251100035"/>
        <s v="00025140006"/>
        <s v="000012100830"/>
        <s v="000952011500"/>
        <s v="000050100/37"/>
        <s v="000012100820"/>
        <s v="000'012111010" u="1"/>
        <s v="0000251100065" u="1"/>
        <s v="000140200125" u="1"/>
        <s v="000130400100" u="1"/>
        <s v="000952041500" u="1"/>
        <s v="000'012111008" u="1"/>
        <s v="000982000005" u="1"/>
        <s v="000'012010008" u="1"/>
        <s v="000952000018" u="1"/>
      </sharedItems>
    </cacheField>
    <cacheField name="MATQU" numFmtId="0">
      <sharedItems containsMixedTypes="1" containsNumber="1" minValue="0" maxValue="7000"/>
    </cacheField>
    <cacheField name="MATU" numFmtId="0">
      <sharedItems count="3">
        <s v="Kg"/>
        <s v="Pcs"/>
        <s v="mm"/>
      </sharedItems>
    </cacheField>
    <cacheField name="MATQT" numFmtId="2">
      <sharedItems containsSemiMixedTypes="0" containsString="0" containsNumber="1" minValue="0" maxValue="7000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count="196">
  <r>
    <s v="411010101"/>
    <s v="توری پانچی"/>
    <s v="Plate"/>
    <x v="0"/>
    <x v="0"/>
    <x v="0"/>
    <n v="19.428750000000001"/>
    <x v="0"/>
    <n v="155.43"/>
  </r>
  <r>
    <s v="413010102"/>
    <s v="ناودانی جلوی بدنه"/>
    <s v="Plate"/>
    <x v="1"/>
    <x v="1"/>
    <x v="1"/>
    <n v="8.2861111111111097"/>
    <x v="0"/>
    <n v="33.144444444444439"/>
  </r>
  <r>
    <s v="413010103"/>
    <s v="ناودانی میانی بدنه"/>
    <s v="Plate"/>
    <x v="1"/>
    <x v="1"/>
    <x v="1"/>
    <n v="8.2861111111111097"/>
    <x v="0"/>
    <n v="33.144444444444439"/>
  </r>
  <r>
    <s v="413010104"/>
    <s v="نبشی بدنه"/>
    <s v="Plate"/>
    <x v="1"/>
    <x v="1"/>
    <x v="1"/>
    <n v="3.6248529411764703"/>
    <x v="0"/>
    <n v="28.998823529411762"/>
  </r>
  <r>
    <s v="413010105"/>
    <s v="ناودانی تقویتی"/>
    <s v="Plate"/>
    <x v="2"/>
    <x v="2"/>
    <x v="2"/>
    <n v="2.0185714285714287"/>
    <x v="0"/>
    <n v="8.0742857142857147"/>
  </r>
  <r>
    <s v="413010106"/>
    <s v="پیچ اتصال کپه ها"/>
    <s v="Hex Bolt"/>
    <x v="3"/>
    <x v="3"/>
    <x v="3"/>
    <n v="1"/>
    <x v="1"/>
    <n v="44"/>
  </r>
  <r>
    <s v="413010107"/>
    <s v="مهره اتصال کپه ها"/>
    <s v="Hex Nut"/>
    <x v="4"/>
    <x v="4"/>
    <x v="4"/>
    <n v="1"/>
    <x v="1"/>
    <n v="44"/>
  </r>
  <r>
    <s v="413010108"/>
    <s v="واشر فنری اتصال کپه ها"/>
    <s v="Spring Washer"/>
    <x v="5"/>
    <x v="5"/>
    <x v="5"/>
    <n v="1"/>
    <x v="1"/>
    <n v="44"/>
  </r>
  <r>
    <s v="413010201"/>
    <s v="تسمه نوار خاردار"/>
    <s v="Flat Bar"/>
    <x v="6"/>
    <x v="6"/>
    <x v="6"/>
    <n v="1"/>
    <x v="1"/>
    <n v="4"/>
  </r>
  <r>
    <s v="413010202"/>
    <s v="صفحه زیر نوار خاردار"/>
    <s v="Plate"/>
    <x v="0"/>
    <x v="0"/>
    <x v="0"/>
    <n v="0.60659090909090907"/>
    <x v="0"/>
    <n v="2.4263636363636363"/>
  </r>
  <r>
    <s v="413010203"/>
    <s v="پیچ ورشو نوار خاردار"/>
    <s v="Self Threaded Bolt"/>
    <x v="7"/>
    <x v="7"/>
    <x v="7"/>
    <n v="1"/>
    <x v="1"/>
    <n v="28"/>
  </r>
  <r>
    <s v="413010204"/>
    <s v="تسمه کلیدی"/>
    <s v="Plate"/>
    <x v="2"/>
    <x v="8"/>
    <x v="8"/>
    <n v="2.0017499999999999"/>
    <x v="0"/>
    <n v="8.0069999999999997"/>
  </r>
  <r>
    <s v="413010301"/>
    <s v="تسمه نوار عرضی"/>
    <s v="Flat Bar"/>
    <x v="2"/>
    <x v="9"/>
    <x v="9"/>
    <n v="1.6354166666666667"/>
    <x v="0"/>
    <n v="3.2708333333333335"/>
  </r>
  <r>
    <s v="413010302"/>
    <s v="بست تسمه نوار عرضی"/>
    <s v="Angle 30x30"/>
    <x v="6"/>
    <x v="10"/>
    <x v="10"/>
    <n v="3.8857500000000003E-2"/>
    <x v="0"/>
    <n v="0.15543000000000001"/>
  </r>
  <r>
    <s v="413010303"/>
    <s v="پیچ بست تسمه نوار عرضی"/>
    <s v="Self Threaded Bolt"/>
    <x v="8"/>
    <x v="11"/>
    <x v="11"/>
    <n v="1"/>
    <x v="1"/>
    <n v="4"/>
  </r>
  <r>
    <s v="413010304"/>
    <s v="پیچ تسمه نوار عرضی"/>
    <s v="Hex Bolt"/>
    <x v="9"/>
    <x v="12"/>
    <x v="12"/>
    <n v="1"/>
    <x v="1"/>
    <n v="2"/>
  </r>
  <r>
    <s v="413010305"/>
    <s v="مهره تسمه نوار عرضی"/>
    <s v="Hex Nut"/>
    <x v="4"/>
    <x v="4"/>
    <x v="4"/>
    <n v="1"/>
    <x v="1"/>
    <n v="2"/>
  </r>
  <r>
    <s v="413010401"/>
    <s v="فیلتر"/>
    <s v="فیلتر اسفنجی"/>
    <x v="10"/>
    <x v="13"/>
    <x v="13"/>
    <n v="1"/>
    <x v="1"/>
    <n v="4"/>
  </r>
  <r>
    <s v="413010501"/>
    <s v=" شفت سمت متحرک"/>
    <s v="Round Bar"/>
    <x v="6"/>
    <x v="14"/>
    <x v="14"/>
    <n v="7.8143830781250001"/>
    <x v="0"/>
    <n v="7.8143830781250001"/>
  </r>
  <r>
    <s v="413010502"/>
    <s v="صفحه شفت"/>
    <s v="Plate"/>
    <x v="1"/>
    <x v="15"/>
    <x v="15"/>
    <n v="10.303125"/>
    <x v="0"/>
    <n v="10.303125"/>
  </r>
  <r>
    <s v="413010503"/>
    <s v="صفحه"/>
    <s v="Plate"/>
    <x v="1"/>
    <x v="15"/>
    <x v="15"/>
    <n v="0.67285714285714293"/>
    <x v="0"/>
    <n v="0.67285714285714293"/>
  </r>
  <r>
    <s v="413010504"/>
    <s v="پیچ صفحه شفت"/>
    <s v="Hex Bolt"/>
    <x v="11"/>
    <x v="16"/>
    <x v="16"/>
    <n v="1"/>
    <x v="1"/>
    <n v="8"/>
  </r>
  <r>
    <s v="413010505"/>
    <s v="مهره صفحه شفت"/>
    <s v="Hex Nut"/>
    <x v="12"/>
    <x v="17"/>
    <x v="17"/>
    <s v="1"/>
    <x v="1"/>
    <n v="8"/>
  </r>
  <r>
    <s v="413010506"/>
    <s v="واشر فنری صفحه شفت"/>
    <s v="Spring Washer"/>
    <x v="13"/>
    <x v="18"/>
    <x v="18"/>
    <s v="1"/>
    <x v="1"/>
    <n v="8"/>
  </r>
  <r>
    <s v="413010601"/>
    <s v="ناودانی بازو"/>
    <s v="Plate"/>
    <x v="1"/>
    <x v="1"/>
    <x v="1"/>
    <n v="1"/>
    <x v="0"/>
    <n v="4"/>
  </r>
  <r>
    <s v="413010602"/>
    <s v="لوله تقویتی ناودانی بازو"/>
    <s v="Pipe"/>
    <x v="14"/>
    <x v="19"/>
    <x v="19"/>
    <n v="1"/>
    <x v="2"/>
    <n v="8"/>
  </r>
  <r>
    <s v="413010603"/>
    <s v="ورق اتصال مثلثی"/>
    <s v="Plate"/>
    <x v="1"/>
    <x v="20"/>
    <x v="20"/>
    <n v="1"/>
    <x v="0"/>
    <n v="4"/>
  </r>
  <r>
    <s v="413010604"/>
    <s v="پیچ اتصال صفحه مثلثی به بدنه"/>
    <s v="Hex Bolt"/>
    <x v="15"/>
    <x v="21"/>
    <x v="21"/>
    <n v="1"/>
    <x v="1"/>
    <n v="8"/>
  </r>
  <r>
    <s v="413010605"/>
    <s v="مهره اتصال صفحه مثلثی به بدنه"/>
    <s v="Hex Nut"/>
    <x v="16"/>
    <x v="22"/>
    <x v="22"/>
    <n v="1"/>
    <x v="1"/>
    <n v="8"/>
  </r>
  <r>
    <s v="413010606"/>
    <s v="واشر فنری اتصال صفحه مثلثی به بدنه"/>
    <s v="Spring Washer"/>
    <x v="5"/>
    <x v="5"/>
    <x v="5"/>
    <n v="1"/>
    <x v="1"/>
    <n v="8"/>
  </r>
  <r>
    <s v="413010607"/>
    <s v="پیچ لتصال صفحه مثلثی به بازو"/>
    <s v="Hex Bolt"/>
    <x v="17"/>
    <x v="23"/>
    <x v="23"/>
    <n v="1"/>
    <x v="1"/>
    <n v="8"/>
  </r>
  <r>
    <s v="413010608"/>
    <s v="مهره لتصال صفحه مثلثی به بازو"/>
    <s v="Hex Nut"/>
    <x v="18"/>
    <x v="24"/>
    <x v="24"/>
    <s v="1"/>
    <x v="1"/>
    <n v="8"/>
  </r>
  <r>
    <s v="413010609"/>
    <s v="واشر فنری اتصال صفحه مثلثی به بازو"/>
    <s v="Spring Washer"/>
    <x v="19"/>
    <x v="25"/>
    <x v="25"/>
    <s v="1"/>
    <x v="1"/>
    <n v="8"/>
  </r>
  <r>
    <s v="413010701"/>
    <s v="پولی فلزی روتاری"/>
    <s v="UPN40"/>
    <x v="1"/>
    <x v="26"/>
    <x v="26"/>
    <n v="4.9926000000000004"/>
    <x v="0"/>
    <n v="4.9926000000000004"/>
  </r>
  <r>
    <s v="413010702"/>
    <s v="نگهدارنده پولی فلزی"/>
    <s v="Plate"/>
    <x v="1"/>
    <x v="1"/>
    <x v="1"/>
    <n v="0.10129032258064515"/>
    <x v="0"/>
    <n v="0.40516129032258058"/>
  </r>
  <r>
    <s v="413010703"/>
    <s v="پیچ اتصال پولی به بازو"/>
    <s v="Hex Bolt"/>
    <x v="17"/>
    <x v="23"/>
    <x v="23"/>
    <s v="1"/>
    <x v="1"/>
    <n v="4"/>
  </r>
  <r>
    <s v="413010704"/>
    <s v="مهره اتصال پولی به بازو"/>
    <s v="Hex Nut"/>
    <x v="18"/>
    <x v="24"/>
    <x v="24"/>
    <s v="1"/>
    <x v="1"/>
    <n v="4"/>
  </r>
  <r>
    <s v="413010705"/>
    <s v="واشر فنری اتصال پولی به بازو"/>
    <s v="Spring Washer"/>
    <x v="19"/>
    <x v="25"/>
    <x v="25"/>
    <s v="1"/>
    <x v="1"/>
    <n v="4"/>
  </r>
  <r>
    <s v="413010801"/>
    <s v="لاستیک هوابند"/>
    <s v="Flat Bar"/>
    <x v="20"/>
    <x v="27"/>
    <x v="27"/>
    <n v="7000"/>
    <x v="2"/>
    <n v="7000"/>
  </r>
  <r>
    <s v="413010901"/>
    <s v="نبشی تقویتی میانی"/>
    <s v="Plate"/>
    <x v="1"/>
    <x v="1"/>
    <x v="1"/>
    <n v="0"/>
    <x v="0"/>
    <n v="0"/>
  </r>
  <r>
    <s v="413010902"/>
    <s v="صفحه اتصال نبشی تقویتی"/>
    <s v="Plate"/>
    <x v="1"/>
    <x v="15"/>
    <x v="15"/>
    <n v="0"/>
    <x v="0"/>
    <n v="0"/>
  </r>
  <r>
    <s v="413010903"/>
    <s v="ورق اتصال مثلثی"/>
    <s v="Plate"/>
    <x v="1"/>
    <x v="20"/>
    <x v="20"/>
    <n v="0"/>
    <x v="0"/>
    <n v="0"/>
  </r>
  <r>
    <s v="413010904"/>
    <s v="پیچ نبشی تقویتی میانی"/>
    <s v="Hex Bolt"/>
    <x v="17"/>
    <x v="23"/>
    <x v="23"/>
    <s v="1"/>
    <x v="1"/>
    <n v="0"/>
  </r>
  <r>
    <s v="413010905"/>
    <s v="مهره نبشی تقویتی میانی"/>
    <s v="Hex Nut"/>
    <x v="18"/>
    <x v="24"/>
    <x v="24"/>
    <s v="1"/>
    <x v="1"/>
    <n v="0"/>
  </r>
  <r>
    <s v="413010906"/>
    <s v="واشر فنری نبشی تقویتی میانی"/>
    <s v="Spring Washer"/>
    <x v="19"/>
    <x v="25"/>
    <x v="25"/>
    <s v="1"/>
    <x v="1"/>
    <n v="0"/>
  </r>
  <r>
    <s v="413010907"/>
    <s v="پیچ اتصال صفحه مثلثی به بدنه"/>
    <s v="Hex Bolt"/>
    <x v="15"/>
    <x v="21"/>
    <x v="21"/>
    <s v="1"/>
    <x v="1"/>
    <n v="0"/>
  </r>
  <r>
    <s v="413010908"/>
    <s v="مهره اتصال صفحه مثلثی به بدنه"/>
    <s v="Hex Nut"/>
    <x v="16"/>
    <x v="22"/>
    <x v="22"/>
    <s v="1"/>
    <x v="1"/>
    <n v="0"/>
  </r>
  <r>
    <s v="413010909"/>
    <s v="واشر فنری صفحه مثلثی به بدنه"/>
    <s v="Spring Washer"/>
    <x v="5"/>
    <x v="5"/>
    <x v="5"/>
    <s v="1"/>
    <x v="1"/>
    <n v="0"/>
  </r>
  <r>
    <s v="413020101"/>
    <s v="توری پانچی"/>
    <s v="Plate"/>
    <x v="0"/>
    <x v="0"/>
    <x v="0"/>
    <n v="19.428750000000001"/>
    <x v="0"/>
    <n v="155.43"/>
  </r>
  <r>
    <s v="413020102"/>
    <s v="ناودانی میانی بدنه"/>
    <s v="Plate"/>
    <x v="1"/>
    <x v="1"/>
    <x v="1"/>
    <n v="8.2861111111111097"/>
    <x v="0"/>
    <n v="66.288888888888877"/>
  </r>
  <r>
    <s v="413020103"/>
    <s v="نبشی بدنه"/>
    <s v="Plate"/>
    <x v="1"/>
    <x v="1"/>
    <x v="1"/>
    <n v="3.6248529411764703"/>
    <x v="0"/>
    <n v="28.998823529411762"/>
  </r>
  <r>
    <s v="413020104"/>
    <s v="ناودانی تقویتی"/>
    <s v="Plate"/>
    <x v="2"/>
    <x v="2"/>
    <x v="2"/>
    <n v="2.0185714285714287"/>
    <x v="0"/>
    <n v="8.0742857142857147"/>
  </r>
  <r>
    <s v="413020105"/>
    <s v="پیچ اتصال کپه ها"/>
    <s v="Hex Bolt"/>
    <x v="3"/>
    <x v="3"/>
    <x v="3"/>
    <s v="1"/>
    <x v="1"/>
    <n v="44"/>
  </r>
  <r>
    <s v="413020106"/>
    <s v="مهره اتصال کپه ها"/>
    <s v="Hex Nut"/>
    <x v="4"/>
    <x v="4"/>
    <x v="4"/>
    <s v="1"/>
    <x v="1"/>
    <n v="44"/>
  </r>
  <r>
    <s v="413020107"/>
    <s v="واشر فنری اتصال کپه ها"/>
    <s v="Spring Washer"/>
    <x v="5"/>
    <x v="5"/>
    <x v="5"/>
    <s v="1"/>
    <x v="1"/>
    <n v="44"/>
  </r>
  <r>
    <s v="413020201"/>
    <s v="تسمه نوار خاردار"/>
    <s v="Flat Bar"/>
    <x v="6"/>
    <x v="6"/>
    <x v="6"/>
    <s v="1"/>
    <x v="1"/>
    <n v="4"/>
  </r>
  <r>
    <s v="413020202"/>
    <s v="صفحه زیر نوار خاردار"/>
    <s v="Plate"/>
    <x v="0"/>
    <x v="0"/>
    <x v="0"/>
    <n v="0.60659090909090907"/>
    <x v="0"/>
    <n v="2.4263636363636363"/>
  </r>
  <r>
    <s v="413020203"/>
    <s v="پیچ ورشو نوار خاردار"/>
    <s v="Self Threaded Bolt"/>
    <x v="7"/>
    <x v="7"/>
    <x v="7"/>
    <s v="1"/>
    <x v="1"/>
    <n v="28"/>
  </r>
  <r>
    <s v="413020204"/>
    <s v="تسمه کلیدی"/>
    <s v="Plate"/>
    <x v="2"/>
    <x v="8"/>
    <x v="8"/>
    <s v="1"/>
    <x v="0"/>
    <n v="4"/>
  </r>
  <r>
    <s v="413020301"/>
    <s v="تسمه نوار عرضی"/>
    <s v="Flat Bar"/>
    <x v="2"/>
    <x v="9"/>
    <x v="9"/>
    <n v="1.6354166666666667"/>
    <x v="0"/>
    <n v="3.2708333333333335"/>
  </r>
  <r>
    <s v="413020302"/>
    <s v="بست تسمه نوار عرضی"/>
    <s v="Angle 30x30"/>
    <x v="6"/>
    <x v="10"/>
    <x v="10"/>
    <n v="3.8857500000000003E-2"/>
    <x v="0"/>
    <n v="0.15543000000000001"/>
  </r>
  <r>
    <s v="413020303"/>
    <s v="پیچ بست تسمه نوار عرضی"/>
    <s v="Self Threaded Bolt"/>
    <x v="8"/>
    <x v="11"/>
    <x v="11"/>
    <s v="1"/>
    <x v="1"/>
    <n v="4"/>
  </r>
  <r>
    <s v="413020304"/>
    <s v="پیچ تسمه نوار عرضی"/>
    <s v="Hex Bolt"/>
    <x v="9"/>
    <x v="12"/>
    <x v="12"/>
    <s v="1"/>
    <x v="1"/>
    <n v="2"/>
  </r>
  <r>
    <s v="413020305"/>
    <s v="مهره تسمه نوار عرضی"/>
    <s v="Hex Nut"/>
    <x v="4"/>
    <x v="4"/>
    <x v="4"/>
    <s v="1"/>
    <x v="1"/>
    <n v="2"/>
  </r>
  <r>
    <s v="413020401"/>
    <s v="فیلتر"/>
    <s v="فیلتر اسفنجی"/>
    <x v="10"/>
    <x v="13"/>
    <x v="13"/>
    <s v="1"/>
    <x v="1"/>
    <n v="4"/>
  </r>
  <r>
    <s v="413020501"/>
    <s v="نبشی تقویتی میانی"/>
    <s v="Plate"/>
    <x v="1"/>
    <x v="1"/>
    <x v="1"/>
    <n v="0"/>
    <x v="0"/>
    <n v="0"/>
  </r>
  <r>
    <s v="413020502"/>
    <s v="صفحه اتصال نبشی تقویتی"/>
    <s v="Plate"/>
    <x v="1"/>
    <x v="15"/>
    <x v="15"/>
    <n v="0"/>
    <x v="0"/>
    <n v="0"/>
  </r>
  <r>
    <s v="413020503"/>
    <s v="ورق اتصال مثلثی"/>
    <s v="Plate"/>
    <x v="1"/>
    <x v="20"/>
    <x v="20"/>
    <n v="0"/>
    <x v="0"/>
    <n v="0"/>
  </r>
  <r>
    <s v="413020504"/>
    <s v="پیچ نبشی تقویتی میانی"/>
    <s v="Hex Bolt"/>
    <x v="17"/>
    <x v="23"/>
    <x v="23"/>
    <s v="1"/>
    <x v="1"/>
    <n v="0"/>
  </r>
  <r>
    <s v="413020505"/>
    <s v="مهره نبشی تقویتی میانی"/>
    <s v="Hex Nut"/>
    <x v="18"/>
    <x v="24"/>
    <x v="24"/>
    <s v="1"/>
    <x v="1"/>
    <n v="0"/>
  </r>
  <r>
    <s v="413020506"/>
    <s v="واشر فنری نبشی تقویتی میانی"/>
    <s v="Spring Washer"/>
    <x v="19"/>
    <x v="25"/>
    <x v="25"/>
    <s v="1"/>
    <x v="1"/>
    <n v="0"/>
  </r>
  <r>
    <s v="413020507"/>
    <s v="پیچ اتصال صفحه مثلثی به بدنه"/>
    <s v="Hex Bolt"/>
    <x v="15"/>
    <x v="21"/>
    <x v="21"/>
    <s v="1"/>
    <x v="1"/>
    <n v="0"/>
  </r>
  <r>
    <s v="413020508"/>
    <s v="مهره اتصال صفحه مثلثی به بدنه"/>
    <s v="Hex Nut"/>
    <x v="16"/>
    <x v="22"/>
    <x v="22"/>
    <s v="1"/>
    <x v="1"/>
    <n v="0"/>
  </r>
  <r>
    <s v="413020509"/>
    <s v="واشر فنری صفحه مثلثی به بدنه"/>
    <s v="Spring Washer"/>
    <x v="5"/>
    <x v="5"/>
    <x v="5"/>
    <s v="1"/>
    <x v="1"/>
    <n v="0"/>
  </r>
  <r>
    <s v="413030101"/>
    <s v="توری پانچی"/>
    <s v="Plate"/>
    <x v="0"/>
    <x v="0"/>
    <x v="0"/>
    <n v="19.428750000000001"/>
    <x v="0"/>
    <n v="155.43"/>
  </r>
  <r>
    <s v="413030102"/>
    <s v="ناودانی انتهایی بدنه"/>
    <s v="Plate"/>
    <x v="1"/>
    <x v="1"/>
    <x v="1"/>
    <n v="8.2861111111111097"/>
    <x v="0"/>
    <n v="33.144444444444439"/>
  </r>
  <r>
    <s v="413030103"/>
    <s v="ناودانی میانی بدنه"/>
    <s v="Plate"/>
    <x v="1"/>
    <x v="1"/>
    <x v="1"/>
    <n v="8.2861111111111097"/>
    <x v="0"/>
    <n v="33.144444444444439"/>
  </r>
  <r>
    <s v="413030104"/>
    <s v="نبشی بدنه"/>
    <s v="Plate"/>
    <x v="1"/>
    <x v="1"/>
    <x v="1"/>
    <n v="3.6248529411764703"/>
    <x v="0"/>
    <n v="28.998823529411762"/>
  </r>
  <r>
    <s v="413030105"/>
    <s v="ناودانی تقویتی"/>
    <s v="Plate"/>
    <x v="2"/>
    <x v="2"/>
    <x v="2"/>
    <n v="2.0185714285714287"/>
    <x v="0"/>
    <n v="8.0742857142857147"/>
  </r>
  <r>
    <s v="413030106"/>
    <s v="پیچ اتصال کپه ها"/>
    <s v="Hex Bolt"/>
    <x v="3"/>
    <x v="3"/>
    <x v="3"/>
    <s v="1"/>
    <x v="1"/>
    <n v="44"/>
  </r>
  <r>
    <s v="413030107"/>
    <s v="مهره اتصال کپه ها"/>
    <s v="Hex Nut"/>
    <x v="4"/>
    <x v="4"/>
    <x v="4"/>
    <s v="1"/>
    <x v="1"/>
    <n v="44"/>
  </r>
  <r>
    <s v="413030108"/>
    <s v="واشر فنری اتصال کپه ها"/>
    <s v="Spring Washer"/>
    <x v="5"/>
    <x v="5"/>
    <x v="5"/>
    <s v="1"/>
    <x v="1"/>
    <n v="44"/>
  </r>
  <r>
    <s v="413030201"/>
    <s v="تسمه نوار خاردار"/>
    <s v="Flat Bar"/>
    <x v="6"/>
    <x v="6"/>
    <x v="6"/>
    <s v="1"/>
    <x v="1"/>
    <n v="4"/>
  </r>
  <r>
    <s v="413030202"/>
    <s v="صفحه زیر نوار خاردار"/>
    <s v="Plate"/>
    <x v="0"/>
    <x v="0"/>
    <x v="0"/>
    <n v="0.60659090909090907"/>
    <x v="0"/>
    <n v="2.4263636363636363"/>
  </r>
  <r>
    <s v="413030203"/>
    <s v="پیچ ورشو نوار خاردار"/>
    <s v="Self Threaded Bolt"/>
    <x v="7"/>
    <x v="7"/>
    <x v="7"/>
    <s v="1"/>
    <x v="1"/>
    <n v="28"/>
  </r>
  <r>
    <s v="413030204"/>
    <s v="تسمه کلیدی"/>
    <s v="Plate"/>
    <x v="2"/>
    <x v="8"/>
    <x v="8"/>
    <s v="1"/>
    <x v="0"/>
    <n v="4"/>
  </r>
  <r>
    <s v="413030301"/>
    <s v="تسمه نوار عرضی"/>
    <s v="Flat Bar"/>
    <x v="2"/>
    <x v="9"/>
    <x v="9"/>
    <n v="1.6354166666666667"/>
    <x v="0"/>
    <n v="3.2708333333333335"/>
  </r>
  <r>
    <s v="413030302"/>
    <s v="بست تسمه نوار عرضی"/>
    <s v="Angle 30x30"/>
    <x v="6"/>
    <x v="10"/>
    <x v="10"/>
    <n v="3.8857500000000003E-2"/>
    <x v="0"/>
    <n v="0.15543000000000001"/>
  </r>
  <r>
    <s v="413030303"/>
    <s v="پیچ بست تسمه نوار عرضی"/>
    <s v="Self Threaded Bolt"/>
    <x v="8"/>
    <x v="11"/>
    <x v="11"/>
    <s v="1"/>
    <x v="1"/>
    <n v="4"/>
  </r>
  <r>
    <s v="413030304"/>
    <s v="پیچ تسمه نوار عرضی"/>
    <s v="Hex Bolt"/>
    <x v="9"/>
    <x v="12"/>
    <x v="12"/>
    <s v="1"/>
    <x v="1"/>
    <n v="2"/>
  </r>
  <r>
    <s v="413030305"/>
    <s v="مهره تسمه نوار عرضی"/>
    <s v="Hex Nut"/>
    <x v="4"/>
    <x v="4"/>
    <x v="4"/>
    <s v="1"/>
    <x v="1"/>
    <n v="2"/>
  </r>
  <r>
    <s v="413030401"/>
    <s v="فیلتر"/>
    <s v="فیلتر اسفنجی"/>
    <x v="10"/>
    <x v="13"/>
    <x v="13"/>
    <s v="1"/>
    <x v="1"/>
    <n v="4"/>
  </r>
  <r>
    <s v="413030501"/>
    <s v=" شفت سمت ثابت"/>
    <s v="Round Bar"/>
    <x v="6"/>
    <x v="14"/>
    <x v="14"/>
    <n v="2.1630163043478263"/>
    <x v="0"/>
    <n v="2.1630163043478263"/>
  </r>
  <r>
    <s v="413030502"/>
    <s v="صفحه شفت"/>
    <s v="Plate"/>
    <x v="1"/>
    <x v="15"/>
    <x v="15"/>
    <n v="10.303125"/>
    <x v="0"/>
    <n v="10.303125"/>
  </r>
  <r>
    <s v="413030503"/>
    <s v="صفحه"/>
    <s v="Plate"/>
    <x v="1"/>
    <x v="15"/>
    <x v="15"/>
    <n v="0.67285714285714293"/>
    <x v="0"/>
    <n v="0.67285714285714293"/>
  </r>
  <r>
    <s v="413030504"/>
    <s v="پیچ صفحه شفت"/>
    <s v="Hex Bolt"/>
    <x v="11"/>
    <x v="16"/>
    <x v="16"/>
    <s v="1"/>
    <x v="1"/>
    <n v="8"/>
  </r>
  <r>
    <s v="413030505"/>
    <s v="مهره صفحه شفت"/>
    <s v="Hex Nut"/>
    <x v="12"/>
    <x v="17"/>
    <x v="17"/>
    <s v="1"/>
    <x v="1"/>
    <n v="8"/>
  </r>
  <r>
    <s v="413030506"/>
    <s v="واشر فنری صفحه شفت"/>
    <s v="Spring Washer"/>
    <x v="13"/>
    <x v="18"/>
    <x v="18"/>
    <s v="1"/>
    <x v="1"/>
    <n v="8"/>
  </r>
  <r>
    <s v="413030601"/>
    <s v="ناودانی بازو"/>
    <s v="Plate"/>
    <x v="1"/>
    <x v="1"/>
    <x v="1"/>
    <n v="5.1305357142857142"/>
    <x v="0"/>
    <n v="20.522142857142857"/>
  </r>
  <r>
    <s v="413030602"/>
    <s v="لوله تقویتی ناودانی بازو"/>
    <s v="Pipe"/>
    <x v="14"/>
    <x v="19"/>
    <x v="19"/>
    <n v="88.235294117647058"/>
    <x v="2"/>
    <n v="705.88235294117646"/>
  </r>
  <r>
    <s v="413030603"/>
    <s v="ورق اتصال مثلثی"/>
    <s v="Plate"/>
    <x v="1"/>
    <x v="20"/>
    <x v="20"/>
    <n v="2.8260000000000001"/>
    <x v="0"/>
    <n v="11.304"/>
  </r>
  <r>
    <s v="413030604"/>
    <s v="پیچ اتصال صفحه مثلثی به بدنه"/>
    <s v="Hex Bolt"/>
    <x v="15"/>
    <x v="21"/>
    <x v="21"/>
    <s v="1"/>
    <x v="1"/>
    <n v="8"/>
  </r>
  <r>
    <s v="413030605"/>
    <s v="مهره اتصال صفحه مثلثی به بدنه"/>
    <s v="Hex Nut"/>
    <x v="16"/>
    <x v="22"/>
    <x v="22"/>
    <s v="1"/>
    <x v="1"/>
    <n v="8"/>
  </r>
  <r>
    <s v="413030606"/>
    <s v="واشر فنری اتصال صفحه مثلثی به بدنه"/>
    <s v="Spring Washer"/>
    <x v="5"/>
    <x v="5"/>
    <x v="5"/>
    <s v="1"/>
    <x v="1"/>
    <n v="8"/>
  </r>
  <r>
    <s v="413030607"/>
    <s v="پیچ اتصال صفحه مثلثی به بازو"/>
    <s v="Hex Bolt"/>
    <x v="17"/>
    <x v="23"/>
    <x v="23"/>
    <s v="1"/>
    <x v="1"/>
    <n v="8"/>
  </r>
  <r>
    <s v="413030608"/>
    <s v="مهره اتصال صفحه مثلثی به بازو"/>
    <s v="Hex Nut"/>
    <x v="18"/>
    <x v="24"/>
    <x v="24"/>
    <s v="1"/>
    <x v="1"/>
    <n v="8"/>
  </r>
  <r>
    <s v="413030609"/>
    <s v="واشر فنری اتصال صفحه مثلثی به بازو"/>
    <s v="Spring Washer"/>
    <x v="19"/>
    <x v="25"/>
    <x v="25"/>
    <s v="1"/>
    <x v="1"/>
    <n v="8"/>
  </r>
  <r>
    <s v="413030701"/>
    <s v="صفحه انتهایی"/>
    <s v="Plate"/>
    <x v="2"/>
    <x v="8"/>
    <x v="8"/>
    <s v="1"/>
    <x v="0"/>
    <n v="4"/>
  </r>
  <r>
    <s v="413030702"/>
    <s v="پیچ اتصال صفحه انتهایی به ناودانی بازو"/>
    <s v="Hex Bolt"/>
    <x v="21"/>
    <x v="28"/>
    <x v="28"/>
    <s v="1"/>
    <x v="1"/>
    <n v="48"/>
  </r>
  <r>
    <s v="413030703"/>
    <s v="مهره اتصال صفحه انتهایی به ناودانی بازو"/>
    <s v="Hex Nut"/>
    <x v="4"/>
    <x v="4"/>
    <x v="4"/>
    <s v="1"/>
    <x v="1"/>
    <n v="48"/>
  </r>
  <r>
    <s v="413000101"/>
    <s v="پیچ اتصال تکه ها"/>
    <s v="Hex Bolt"/>
    <x v="17"/>
    <x v="23"/>
    <x v="23"/>
    <s v="1"/>
    <x v="1"/>
    <n v="48"/>
  </r>
  <r>
    <s v="413000102"/>
    <s v="مهره اتصال تکه ها"/>
    <s v="Hex Nut"/>
    <x v="18"/>
    <x v="24"/>
    <x v="24"/>
    <s v="1"/>
    <x v="1"/>
    <n v="48"/>
  </r>
  <r>
    <s v="413000103"/>
    <s v="واشر فنری اتصال تکه ها"/>
    <s v="Spring Washer"/>
    <x v="19"/>
    <x v="25"/>
    <x v="25"/>
    <s v="1"/>
    <x v="1"/>
    <n v="48"/>
  </r>
  <r>
    <s v="413040101"/>
    <s v="صفحه زیر یاتاقان"/>
    <s v="Plate"/>
    <x v="1"/>
    <x v="29"/>
    <x v="29"/>
    <n v="5.8875000000000002"/>
    <x v="0"/>
    <n v="5.8875000000000002"/>
  </r>
  <r>
    <s v="413040102"/>
    <s v="صفحه زیر پایه"/>
    <s v="Plate"/>
    <x v="1"/>
    <x v="15"/>
    <x v="15"/>
    <n v="17.27"/>
    <x v="0"/>
    <n v="17.27"/>
  </r>
  <r>
    <s v="413040103"/>
    <s v="ناودانی پایه"/>
    <s v="Plate"/>
    <x v="1"/>
    <x v="1"/>
    <x v="1"/>
    <n v="9.3572000000000006"/>
    <x v="0"/>
    <n v="18.714400000000001"/>
  </r>
  <r>
    <s v="413040104"/>
    <s v="تقویتی پایه"/>
    <s v="Plate"/>
    <x v="1"/>
    <x v="20"/>
    <x v="20"/>
    <n v="1.6223333333333332"/>
    <x v="0"/>
    <n v="6.4893333333333327"/>
  </r>
  <r>
    <s v="413040201"/>
    <s v="یاتاقان"/>
    <s v="UCP 212"/>
    <x v="22"/>
    <x v="30"/>
    <x v="30"/>
    <s v="1"/>
    <x v="1"/>
    <n v="1"/>
  </r>
  <r>
    <s v="413040202"/>
    <s v="پیچ  یاتاقان"/>
    <s v="Hex Bolt"/>
    <x v="23"/>
    <x v="31"/>
    <x v="31"/>
    <s v="1"/>
    <x v="1"/>
    <n v="2"/>
  </r>
  <r>
    <s v="413040203"/>
    <s v="مهره یاتاقان"/>
    <s v="Hex Nut"/>
    <x v="24"/>
    <x v="32"/>
    <x v="32"/>
    <s v="1"/>
    <x v="1"/>
    <n v="2"/>
  </r>
  <r>
    <s v="413040204"/>
    <s v="واشر تخت یاتاقان"/>
    <s v="Flat Washer"/>
    <x v="25"/>
    <x v="33"/>
    <x v="33"/>
    <s v="1"/>
    <x v="1"/>
    <n v="2"/>
  </r>
  <r>
    <s v="413040205"/>
    <s v="واشر فنری یاتاقان"/>
    <s v="Spring Washer"/>
    <x v="26"/>
    <x v="34"/>
    <x v="34"/>
    <s v="1"/>
    <x v="1"/>
    <n v="2"/>
  </r>
  <r>
    <s v="413040206"/>
    <s v="واشر استپ پشت یاتاقان"/>
    <s v="Plate"/>
    <x v="1"/>
    <x v="20"/>
    <x v="20"/>
    <s v="1"/>
    <x v="0"/>
    <n v="1"/>
  </r>
  <r>
    <s v="413040207"/>
    <s v="پیچ واشر استپ"/>
    <s v="Hex Bolt"/>
    <x v="27"/>
    <x v="35"/>
    <x v="35"/>
    <s v="1"/>
    <x v="1"/>
    <n v="1"/>
  </r>
  <r>
    <s v="413040208"/>
    <s v="واشر فنری واشر استپ"/>
    <s v="Spring Washer"/>
    <x v="13"/>
    <x v="18"/>
    <x v="18"/>
    <s v="1"/>
    <x v="1"/>
    <n v="1"/>
  </r>
  <r>
    <s v="413040301"/>
    <s v="پیچ رولپلاگ"/>
    <s v="Hex Bolt"/>
    <x v="28"/>
    <x v="36"/>
    <x v="36"/>
    <s v="1"/>
    <x v="1"/>
    <n v="4"/>
  </r>
  <r>
    <s v="413040302"/>
    <s v="رولپلاگ"/>
    <s v="Raw plug"/>
    <x v="29"/>
    <x v="37"/>
    <x v="37"/>
    <s v="1"/>
    <x v="1"/>
    <n v="4"/>
  </r>
  <r>
    <s v="413050101"/>
    <s v="صفحه زیر یاتاقان"/>
    <s v="Plate"/>
    <x v="1"/>
    <x v="29"/>
    <x v="29"/>
    <n v="0.73593750000000002"/>
    <x v="0"/>
    <n v="0.73593750000000002"/>
  </r>
  <r>
    <s v="413050102"/>
    <s v="صفحه زیر پایه"/>
    <s v="Plate"/>
    <x v="1"/>
    <x v="15"/>
    <x v="15"/>
    <n v="0.58875"/>
    <x v="0"/>
    <n v="1.7662499999999999"/>
  </r>
  <r>
    <s v="413050103"/>
    <s v="قوطی عرضی"/>
    <s v="Box"/>
    <x v="6"/>
    <x v="38"/>
    <x v="38"/>
    <n v="44.117647058823529"/>
    <x v="2"/>
    <n v="44.117647058823529"/>
  </r>
  <r>
    <s v="413050104"/>
    <s v="قوطی طولی"/>
    <s v="Box"/>
    <x v="6"/>
    <x v="38"/>
    <x v="38"/>
    <n v="375"/>
    <x v="2"/>
    <n v="750"/>
  </r>
  <r>
    <s v="413050105"/>
    <s v="قوطی تقویتی"/>
    <s v="Box"/>
    <x v="6"/>
    <x v="38"/>
    <x v="38"/>
    <n v="150"/>
    <x v="2"/>
    <n v="150"/>
  </r>
  <r>
    <s v="413050106"/>
    <s v="صفحه زیر الکترو موتور"/>
    <s v="Plate"/>
    <x v="1"/>
    <x v="39"/>
    <x v="39"/>
    <n v="0.4599609375"/>
    <x v="0"/>
    <n v="0.4599609375"/>
  </r>
  <r>
    <s v="413050107"/>
    <s v="نگهدارنده صفحه زیر _x000a_الکترو موتور"/>
    <s v="Plate"/>
    <x v="1"/>
    <x v="39"/>
    <x v="39"/>
    <n v="1.1039062500000001"/>
    <x v="0"/>
    <n v="1.1039062500000001"/>
  </r>
  <r>
    <s v="413050108"/>
    <s v="رابط قوطی عرضی و تقویتی"/>
    <s v="Plate"/>
    <x v="1"/>
    <x v="1"/>
    <x v="1"/>
    <n v="8.6580882352941174E-2"/>
    <x v="0"/>
    <n v="8.6580882352941174E-2"/>
  </r>
  <r>
    <s v="413050109"/>
    <s v="درپوش قوطی تقویتی"/>
    <s v="Plate"/>
    <x v="1"/>
    <x v="1"/>
    <x v="1"/>
    <n v="4.0404411764705883E-2"/>
    <x v="0"/>
    <n v="4.0404411764705883E-2"/>
  </r>
  <r>
    <s v="413050110"/>
    <s v="نبشی هرزگرد"/>
    <s v="Angle 40x40"/>
    <x v="6"/>
    <x v="40"/>
    <x v="40"/>
    <n v="2.8652500000000001"/>
    <x v="0"/>
    <n v="2.8652500000000001"/>
  </r>
  <r>
    <s v="413050111"/>
    <s v="نبشی نگهدارنده صفحه موتور"/>
    <s v="Angle 40x40"/>
    <x v="6"/>
    <x v="40"/>
    <x v="40"/>
    <n v="3.4382999999999999"/>
    <x v="0"/>
    <n v="3.4382999999999999"/>
  </r>
  <r>
    <s v="413050112"/>
    <s v="میل پیچ"/>
    <s v="Screw"/>
    <x v="30"/>
    <x v="41"/>
    <x v="41"/>
    <n v="315.78947368421052"/>
    <x v="2"/>
    <n v="315.78947368421052"/>
  </r>
  <r>
    <s v="413050113"/>
    <s v="صفحه نگهدارنده میل پیچ"/>
    <s v="Plate"/>
    <x v="1"/>
    <x v="20"/>
    <x v="20"/>
    <n v="0.1272972972972973"/>
    <x v="0"/>
    <n v="0.1272972972972973"/>
  </r>
  <r>
    <s v="413050114"/>
    <s v="صفحه اتصال پولی به میل پیچ"/>
    <s v="Plate"/>
    <x v="1"/>
    <x v="20"/>
    <x v="20"/>
    <n v="0.10183783783783784"/>
    <x v="0"/>
    <n v="0.20367567567567568"/>
  </r>
  <r>
    <s v="413050115"/>
    <s v="صفحه نگهدارنده پولی"/>
    <s v="Plate"/>
    <x v="1"/>
    <x v="20"/>
    <x v="20"/>
    <n v="0.2545945945945946"/>
    <x v="0"/>
    <n v="0.2545945945945946"/>
  </r>
  <r>
    <s v="413050116"/>
    <s v="لوله تقویتی قوطی عرضی"/>
    <s v="Pipe"/>
    <x v="14"/>
    <x v="19"/>
    <x v="19"/>
    <n v="70.588235294117652"/>
    <x v="2"/>
    <n v="141.1764705882353"/>
  </r>
  <r>
    <s v="413050117"/>
    <s v="پیچ قوطی تقویتی"/>
    <s v="Hex Bolt"/>
    <x v="31"/>
    <x v="42"/>
    <x v="42"/>
    <s v="1"/>
    <x v="1"/>
    <n v="2"/>
  </r>
  <r>
    <s v="413050118"/>
    <s v="مهره قوطی تقویتی"/>
    <s v="Hex Bolt"/>
    <x v="12"/>
    <x v="17"/>
    <x v="17"/>
    <s v="1"/>
    <x v="1"/>
    <n v="2"/>
  </r>
  <r>
    <s v="413050119"/>
    <s v="واشر تخت قوطی تقویتی"/>
    <s v="Flat Washer"/>
    <x v="32"/>
    <x v="43"/>
    <x v="43"/>
    <s v="1"/>
    <x v="1"/>
    <n v="4"/>
  </r>
  <r>
    <s v="413050120"/>
    <s v="واشر فنری قوطی تقویتی"/>
    <s v="Spring Washer"/>
    <x v="13"/>
    <x v="18"/>
    <x v="18"/>
    <s v="1"/>
    <x v="1"/>
    <n v="2"/>
  </r>
  <r>
    <s v="413050121"/>
    <s v="مهره سر میل پیچ"/>
    <s v="Hex Nut"/>
    <x v="12"/>
    <x v="17"/>
    <x v="17"/>
    <s v="1"/>
    <x v="1"/>
    <n v="1"/>
  </r>
  <r>
    <s v="413050122"/>
    <s v="اشپیل مهره میل پیچ"/>
    <s v="Cutter Pin"/>
    <x v="33"/>
    <x v="44"/>
    <x v="44"/>
    <s v="1"/>
    <x v="1"/>
    <n v="1"/>
  </r>
  <r>
    <s v="413050201"/>
    <s v="یاتاقان"/>
    <s v="UCP 212"/>
    <x v="22"/>
    <x v="30"/>
    <x v="30"/>
    <s v="1"/>
    <x v="1"/>
    <n v="1"/>
  </r>
  <r>
    <s v="413050202"/>
    <s v="پیچ  یاتاقان"/>
    <s v="Hex Bolt"/>
    <x v="23"/>
    <x v="31"/>
    <x v="31"/>
    <s v="1"/>
    <x v="1"/>
    <n v="2"/>
  </r>
  <r>
    <s v="413050203"/>
    <s v="مهره یاتاقان"/>
    <s v="Hex Nut"/>
    <x v="24"/>
    <x v="32"/>
    <x v="32"/>
    <s v="1"/>
    <x v="1"/>
    <n v="2"/>
  </r>
  <r>
    <s v="413050204"/>
    <s v="واشر تخت یاتاقان"/>
    <s v="Flat Washer"/>
    <x v="25"/>
    <x v="33"/>
    <x v="33"/>
    <s v="1"/>
    <x v="1"/>
    <n v="2"/>
  </r>
  <r>
    <s v="413050205"/>
    <s v="واشر فنری یاتاقان"/>
    <s v="Spring Washer"/>
    <x v="26"/>
    <x v="34"/>
    <x v="34"/>
    <s v="1"/>
    <x v="1"/>
    <n v="2"/>
  </r>
  <r>
    <s v="413050206"/>
    <s v="واشر استپ پشت یاتاقان"/>
    <s v="Plate"/>
    <x v="1"/>
    <x v="20"/>
    <x v="20"/>
    <s v="1"/>
    <x v="0"/>
    <n v="1"/>
  </r>
  <r>
    <s v="413050207"/>
    <s v="پیچ واشر استپ"/>
    <s v="Hex Bolt"/>
    <x v="27"/>
    <x v="35"/>
    <x v="35"/>
    <s v="1"/>
    <x v="1"/>
    <n v="1"/>
  </r>
  <r>
    <s v="413050208"/>
    <s v="واشر فنری واشر استپ"/>
    <s v="Spring Washer"/>
    <x v="13"/>
    <x v="18"/>
    <x v="18"/>
    <s v="1"/>
    <x v="1"/>
    <n v="1"/>
  </r>
  <r>
    <s v="413050301"/>
    <s v="پیچ رولپلاگ"/>
    <s v="Hex Bolt"/>
    <x v="28"/>
    <x v="36"/>
    <x v="36"/>
    <s v="1"/>
    <x v="1"/>
    <n v="6"/>
  </r>
  <r>
    <s v="413050302"/>
    <s v="رولپلاگ"/>
    <s v="Raw plug"/>
    <x v="29"/>
    <x v="37"/>
    <x v="37"/>
    <s v="1"/>
    <x v="1"/>
    <n v="6"/>
  </r>
  <r>
    <s v="413060101"/>
    <s v="سینی شماره 1"/>
    <s v="Plate"/>
    <x v="2"/>
    <x v="2"/>
    <x v="2"/>
    <n v="15.4802"/>
    <x v="0"/>
    <n v="15.4802"/>
  </r>
  <r>
    <s v="413060102"/>
    <s v="سینی شماره 2"/>
    <s v="Plate"/>
    <x v="2"/>
    <x v="2"/>
    <x v="2"/>
    <n v="7.0807000000000002"/>
    <x v="0"/>
    <n v="7.0807000000000002"/>
  </r>
  <r>
    <s v="413060103"/>
    <s v="سینی شماره 3"/>
    <s v="Plate"/>
    <x v="2"/>
    <x v="2"/>
    <x v="2"/>
    <n v="15.4488"/>
    <x v="0"/>
    <n v="15.4488"/>
  </r>
  <r>
    <s v="413060104"/>
    <s v="سینی شماره 4"/>
    <s v="Plate"/>
    <x v="2"/>
    <x v="2"/>
    <x v="2"/>
    <n v="5.3380000000000001"/>
    <x v="0"/>
    <n v="5.3380000000000001"/>
  </r>
  <r>
    <s v="413060105"/>
    <s v="سینی شماره 5"/>
    <s v="Plate"/>
    <x v="2"/>
    <x v="2"/>
    <x v="2"/>
    <n v="15.4802"/>
    <x v="0"/>
    <n v="15.4802"/>
  </r>
  <r>
    <s v="413060106"/>
    <s v="سینی شماره 6"/>
    <s v="Plate"/>
    <x v="2"/>
    <x v="2"/>
    <x v="2"/>
    <n v="7.0807000000000002"/>
    <x v="0"/>
    <n v="7.0807000000000002"/>
  </r>
  <r>
    <s v="413060107"/>
    <s v="سینی شماره 7"/>
    <s v="Plate"/>
    <x v="2"/>
    <x v="2"/>
    <x v="2"/>
    <n v="15.4488"/>
    <x v="0"/>
    <n v="15.4488"/>
  </r>
  <r>
    <s v="413060108"/>
    <s v="سینی شماره 8"/>
    <s v="Plate"/>
    <x v="2"/>
    <x v="2"/>
    <x v="2"/>
    <n v="7.6929999999999996"/>
    <x v="0"/>
    <n v="7.6929999999999996"/>
  </r>
  <r>
    <s v="413060109"/>
    <s v="ناودانی تقویتی سینی"/>
    <s v="Plate"/>
    <x v="2"/>
    <x v="2"/>
    <x v="2"/>
    <n v="3.3807333333333331"/>
    <x v="0"/>
    <n v="6.7614666666666663"/>
  </r>
  <r>
    <s v="413060201"/>
    <s v="پیچ اتصال سینی"/>
    <s v="Hex Bolt"/>
    <x v="3"/>
    <x v="3"/>
    <x v="3"/>
    <s v="1"/>
    <x v="1"/>
    <n v="22"/>
  </r>
  <r>
    <s v="413060202"/>
    <s v="مهره اتصال سینی"/>
    <s v="Hex Nut"/>
    <x v="16"/>
    <x v="22"/>
    <x v="22"/>
    <s v="1"/>
    <x v="1"/>
    <n v="22"/>
  </r>
  <r>
    <s v="413060203"/>
    <s v="پیچ اتصال نبشی"/>
    <s v="Hex Bolt"/>
    <x v="15"/>
    <x v="21"/>
    <x v="21"/>
    <s v="1"/>
    <x v="1"/>
    <n v="2"/>
  </r>
  <r>
    <s v="413060204"/>
    <s v="مهره اتصال نبشی"/>
    <s v="Hex Nut"/>
    <x v="16"/>
    <x v="22"/>
    <x v="22"/>
    <s v="1"/>
    <x v="1"/>
    <n v="2"/>
  </r>
  <r>
    <s v="413060205"/>
    <s v="پیچ ورشو اتصال نبشی تقویتی به سینی"/>
    <s v="Self Threaded Bolt"/>
    <x v="34"/>
    <x v="45"/>
    <x v="45"/>
    <s v="1"/>
    <x v="1"/>
    <n v="36"/>
  </r>
  <r>
    <s v="413060206"/>
    <s v="مهره چهارگوش اتصال نبشی به سینی"/>
    <s v="Square Nut"/>
    <x v="35"/>
    <x v="46"/>
    <x v="46"/>
    <s v="1"/>
    <x v="1"/>
    <n v="36"/>
  </r>
  <r>
    <s v="413060301"/>
    <s v="نبشی قاب جلو روتاری"/>
    <s v="Angle 40x40"/>
    <x v="6"/>
    <x v="40"/>
    <x v="40"/>
    <n v="137.53200000000001"/>
    <x v="0"/>
    <n v="275.06400000000002"/>
  </r>
  <r>
    <s v="413060302"/>
    <s v="ورق اتصال سر نبشی"/>
    <s v="Plate"/>
    <x v="1"/>
    <x v="1"/>
    <x v="1"/>
    <n v="5.0918918918918921E-2"/>
    <x v="0"/>
    <n v="0.10183783783783784"/>
  </r>
  <r>
    <s v="413070101"/>
    <s v="پولی تسمه سفت کن"/>
    <s v="Round Bar"/>
    <x v="36"/>
    <x v="47"/>
    <x v="47"/>
    <n v="0.22298367000000008"/>
    <x v="0"/>
    <n v="0.22298367000000008"/>
  </r>
  <r>
    <s v="413070102"/>
    <s v="بیرینگ"/>
    <s v="6201z "/>
    <x v="20"/>
    <x v="48"/>
    <x v="48"/>
    <s v="1"/>
    <x v="1"/>
    <n v="2"/>
  </r>
  <r>
    <s v="413070103"/>
    <s v="پیچ پولی تسمه سفت کن"/>
    <s v="Hex Bolt"/>
    <x v="37"/>
    <x v="49"/>
    <x v="49"/>
    <s v="1"/>
    <x v="1"/>
    <n v="1"/>
  </r>
  <r>
    <s v="413070104"/>
    <s v="مهره پولی تسمه سفت کن"/>
    <s v="Hex Nut"/>
    <x v="38"/>
    <x v="50"/>
    <x v="50"/>
    <s v="1"/>
    <x v="1"/>
    <n v="1"/>
  </r>
  <r>
    <s v="413070105"/>
    <s v="واشر پولی تسمه سفت کن"/>
    <s v="Flat Washer"/>
    <x v="39"/>
    <x v="51"/>
    <x v="25"/>
    <s v="1"/>
    <x v="1"/>
    <n v="3"/>
  </r>
  <r>
    <s v="413070201"/>
    <s v="پولی چدنی"/>
    <s v="Casting"/>
    <x v="40"/>
    <x v="52"/>
    <x v="51"/>
    <s v="1"/>
    <x v="1"/>
    <n v="1"/>
  </r>
  <r>
    <s v="413070202"/>
    <s v="شفت الکتروگیربکس"/>
    <s v="Round Bar"/>
    <x v="6"/>
    <x v="53"/>
    <x v="52"/>
    <n v="1.2247074070945945"/>
    <x v="0"/>
    <n v="1.2247074070945945"/>
  </r>
  <r>
    <s v="413070203"/>
    <s v="خار شفت الکتروگیربکس 1"/>
    <s v="Square Bar"/>
    <x v="6"/>
    <x v="54"/>
    <x v="53"/>
    <n v="1.6955999999999999E-2"/>
    <x v="0"/>
    <n v="1.6955999999999999E-2"/>
  </r>
  <r>
    <s v="413070204"/>
    <s v="خار شفت الکتروگیربکس 2"/>
    <s v="Square Bar"/>
    <x v="6"/>
    <x v="54"/>
    <x v="53"/>
    <n v="2.5690909090909091E-2"/>
    <x v="0"/>
    <n v="2.5690909090909091E-2"/>
  </r>
  <r>
    <s v="413070205"/>
    <s v="واشر تخت سر الکترو گیربکس"/>
    <s v="Flat Washer"/>
    <x v="41"/>
    <x v="55"/>
    <x v="54"/>
    <s v="1"/>
    <x v="1"/>
    <n v="1"/>
  </r>
  <r>
    <s v="413070206"/>
    <s v="تسمه سبز روتاری "/>
    <s v="Flat Bar"/>
    <x v="20"/>
    <x v="56"/>
    <x v="55"/>
    <s v="1"/>
    <x v="1"/>
    <n v="1"/>
  </r>
  <r>
    <s v="413070307"/>
    <s v="الکتروگیربکس روتاری"/>
    <s v="-"/>
    <x v="42"/>
    <x v="57"/>
    <x v="56"/>
    <s v="1"/>
    <x v="1"/>
    <n v="1"/>
  </r>
  <r>
    <s v="413070401"/>
    <s v="پیچ اتصال الکتروگیربکس"/>
    <s v="Hex Bolt"/>
    <x v="15"/>
    <x v="21"/>
    <x v="21"/>
    <s v="1"/>
    <x v="1"/>
    <n v="4"/>
  </r>
  <r>
    <s v="413070402"/>
    <s v="مهره اتصال الکتروگیربکس"/>
    <s v="Hex Nut"/>
    <x v="16"/>
    <x v="22"/>
    <x v="22"/>
    <s v="1"/>
    <x v="1"/>
    <n v="4"/>
  </r>
  <r>
    <s v="413070403"/>
    <s v="واشر تخت الکترو گیربکس"/>
    <s v="Flat Washer"/>
    <x v="41"/>
    <x v="55"/>
    <x v="54"/>
    <s v="1"/>
    <x v="1"/>
    <n v="4"/>
  </r>
  <r>
    <s v="413070404"/>
    <s v="واشر فنری الکترو گیربکس"/>
    <s v="Spring Washer"/>
    <x v="5"/>
    <x v="5"/>
    <x v="5"/>
    <s v="1"/>
    <x v="1"/>
    <n v="4"/>
  </r>
  <r>
    <s v="413070501"/>
    <s v="پیچ اتصال صفحه الکترو گیربکس"/>
    <s v="Hex Bolt"/>
    <x v="3"/>
    <x v="3"/>
    <x v="3"/>
    <s v="1"/>
    <x v="1"/>
    <n v="4"/>
  </r>
  <r>
    <s v="413070502"/>
    <s v="مهره اتصال صفحه الکترو گیربکس"/>
    <s v="Hex Nut"/>
    <x v="16"/>
    <x v="22"/>
    <x v="22"/>
    <s v="1"/>
    <x v="1"/>
    <n v="4"/>
  </r>
  <r>
    <s v="413070503"/>
    <s v="واشر تخت  صفحه الکترو گیربکس"/>
    <s v="Flat Washer"/>
    <x v="43"/>
    <x v="58"/>
    <x v="57"/>
    <s v="1"/>
    <x v="1"/>
    <n v="4"/>
  </r>
  <r>
    <s v="413070504"/>
    <s v="واشر فنری صفحه الکترو گیربکس"/>
    <s v="Spring Washer"/>
    <x v="5"/>
    <x v="5"/>
    <x v="5"/>
    <s v="1"/>
    <x v="1"/>
    <n v="4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PivotTable1" cacheId="3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AP3:AT63" firstHeaderRow="1" firstDataRow="1" firstDataCol="4"/>
  <pivotFields count="9">
    <pivotField showAll="0"/>
    <pivotField showAll="0"/>
    <pivotField showAll="0"/>
    <pivotField axis="axisRow" outline="0" showAll="0" defaultSubtotal="0">
      <items count="50">
        <item x="20"/>
        <item x="42"/>
        <item x="33"/>
        <item x="29"/>
        <item x="19"/>
        <item x="39"/>
        <item x="13"/>
        <item x="32"/>
        <item x="26"/>
        <item m="1" x="46"/>
        <item x="6"/>
        <item m="1" x="44"/>
        <item x="30"/>
        <item x="14"/>
        <item x="5"/>
        <item m="1" x="49"/>
        <item x="43"/>
        <item x="41"/>
        <item x="0"/>
        <item x="40"/>
        <item x="2"/>
        <item x="35"/>
        <item x="8"/>
        <item x="34"/>
        <item x="7"/>
        <item x="18"/>
        <item x="17"/>
        <item x="38"/>
        <item x="37"/>
        <item m="1" x="45"/>
        <item x="12"/>
        <item x="11"/>
        <item m="1" x="48"/>
        <item x="27"/>
        <item x="31"/>
        <item x="24"/>
        <item x="23"/>
        <item m="1" x="47"/>
        <item x="4"/>
        <item x="9"/>
        <item x="21"/>
        <item x="16"/>
        <item x="3"/>
        <item x="15"/>
        <item x="28"/>
        <item x="36"/>
        <item x="10"/>
        <item x="1"/>
        <item x="22"/>
        <item x="25"/>
      </items>
    </pivotField>
    <pivotField axis="axisRow" outline="0" showAll="0" defaultSubtotal="0">
      <items count="65">
        <item x="13"/>
        <item x="44"/>
        <item x="57"/>
        <item x="48"/>
        <item x="52"/>
        <item x="49"/>
        <item x="23"/>
        <item x="16"/>
        <item x="35"/>
        <item x="42"/>
        <item x="31"/>
        <item x="12"/>
        <item x="28"/>
        <item x="3"/>
        <item x="21"/>
        <item x="11"/>
        <item x="7"/>
        <item m="1" x="63"/>
        <item x="45"/>
        <item m="1" x="60"/>
        <item x="9"/>
        <item m="1" x="62"/>
        <item x="6"/>
        <item x="37"/>
        <item x="41"/>
        <item x="38"/>
        <item x="27"/>
        <item x="19"/>
        <item x="46"/>
        <item x="24"/>
        <item x="17"/>
        <item x="32"/>
        <item x="4"/>
        <item x="22"/>
        <item m="1" x="64"/>
        <item x="54"/>
        <item x="53"/>
        <item x="14"/>
        <item x="47"/>
        <item x="26"/>
        <item x="10"/>
        <item x="40"/>
        <item x="58"/>
        <item x="51"/>
        <item x="43"/>
        <item x="55"/>
        <item x="33"/>
        <item x="25"/>
        <item x="18"/>
        <item x="34"/>
        <item x="5"/>
        <item x="0"/>
        <item x="39"/>
        <item x="1"/>
        <item x="15"/>
        <item x="29"/>
        <item x="20"/>
        <item x="8"/>
        <item x="2"/>
        <item x="30"/>
        <item x="50"/>
        <item x="36"/>
        <item m="1" x="59"/>
        <item m="1" x="61"/>
        <item x="56"/>
      </items>
    </pivotField>
    <pivotField axis="axisRow" outline="0" showAll="0" defaultSubtotal="0">
      <items count="67">
        <item x="28"/>
        <item x="12"/>
        <item x="3"/>
        <item x="21"/>
        <item x="23"/>
        <item x="35"/>
        <item x="42"/>
        <item x="16"/>
        <item x="31"/>
        <item x="49"/>
        <item x="4"/>
        <item x="22"/>
        <item m="1" x="65"/>
        <item x="24"/>
        <item x="17"/>
        <item x="32"/>
        <item x="46"/>
        <item x="57"/>
        <item x="54"/>
        <item x="43"/>
        <item x="33"/>
        <item x="5"/>
        <item m="1" x="63"/>
        <item x="25"/>
        <item m="1" x="58"/>
        <item x="18"/>
        <item x="34"/>
        <item x="36"/>
        <item x="37"/>
        <item x="11"/>
        <item x="45"/>
        <item x="7"/>
        <item x="44"/>
        <item x="48"/>
        <item x="52"/>
        <item m="1" x="59"/>
        <item x="41"/>
        <item x="56"/>
        <item x="9"/>
        <item x="0"/>
        <item x="39"/>
        <item m="1" x="61"/>
        <item x="1"/>
        <item x="20"/>
        <item x="15"/>
        <item x="29"/>
        <item x="8"/>
        <item x="2"/>
        <item x="30"/>
        <item x="10"/>
        <item x="40"/>
        <item x="38"/>
        <item x="14"/>
        <item x="53"/>
        <item x="47"/>
        <item x="26"/>
        <item x="27"/>
        <item x="6"/>
        <item m="1" x="66"/>
        <item x="13"/>
        <item x="51"/>
        <item x="55"/>
        <item m="1" x="62"/>
        <item m="1" x="64"/>
        <item x="19"/>
        <item x="50"/>
        <item m="1" x="60"/>
      </items>
    </pivotField>
    <pivotField outline="0" showAll="0" defaultSubtotal="0"/>
    <pivotField axis="axisRow" outline="0" showAll="0" defaultSubtotal="0">
      <items count="3">
        <item x="0"/>
        <item x="2"/>
        <item x="1"/>
      </items>
    </pivotField>
    <pivotField dataField="1" showAll="0"/>
  </pivotFields>
  <rowFields count="4">
    <field x="4"/>
    <field x="3"/>
    <field x="5"/>
    <field x="7"/>
  </rowFields>
  <rowItems count="60">
    <i>
      <x/>
      <x v="46"/>
      <x v="59"/>
      <x v="2"/>
    </i>
    <i>
      <x v="1"/>
      <x v="2"/>
      <x v="32"/>
      <x v="2"/>
    </i>
    <i>
      <x v="2"/>
      <x v="1"/>
      <x v="37"/>
      <x v="2"/>
    </i>
    <i>
      <x v="3"/>
      <x/>
      <x v="33"/>
      <x v="2"/>
    </i>
    <i>
      <x v="4"/>
      <x v="19"/>
      <x v="60"/>
      <x v="2"/>
    </i>
    <i>
      <x v="5"/>
      <x v="28"/>
      <x v="9"/>
      <x v="2"/>
    </i>
    <i>
      <x v="6"/>
      <x v="26"/>
      <x v="4"/>
      <x v="2"/>
    </i>
    <i>
      <x v="7"/>
      <x v="31"/>
      <x v="7"/>
      <x v="2"/>
    </i>
    <i>
      <x v="8"/>
      <x v="33"/>
      <x v="5"/>
      <x v="2"/>
    </i>
    <i>
      <x v="9"/>
      <x v="34"/>
      <x v="6"/>
      <x v="2"/>
    </i>
    <i>
      <x v="10"/>
      <x v="36"/>
      <x v="8"/>
      <x v="2"/>
    </i>
    <i>
      <x v="11"/>
      <x v="39"/>
      <x v="1"/>
      <x v="2"/>
    </i>
    <i>
      <x v="12"/>
      <x v="40"/>
      <x/>
      <x v="2"/>
    </i>
    <i>
      <x v="13"/>
      <x v="42"/>
      <x v="2"/>
      <x v="2"/>
    </i>
    <i>
      <x v="14"/>
      <x v="43"/>
      <x v="3"/>
      <x v="2"/>
    </i>
    <i>
      <x v="15"/>
      <x v="22"/>
      <x v="29"/>
      <x v="2"/>
    </i>
    <i>
      <x v="16"/>
      <x v="24"/>
      <x v="31"/>
      <x v="2"/>
    </i>
    <i>
      <x v="18"/>
      <x v="23"/>
      <x v="30"/>
      <x v="2"/>
    </i>
    <i>
      <x v="20"/>
      <x v="20"/>
      <x v="38"/>
      <x/>
    </i>
    <i>
      <x v="22"/>
      <x v="10"/>
      <x v="57"/>
      <x v="2"/>
    </i>
    <i>
      <x v="23"/>
      <x v="3"/>
      <x v="28"/>
      <x v="2"/>
    </i>
    <i>
      <x v="24"/>
      <x v="12"/>
      <x v="36"/>
      <x v="1"/>
    </i>
    <i>
      <x v="25"/>
      <x v="10"/>
      <x v="51"/>
      <x v="1"/>
    </i>
    <i>
      <x v="26"/>
      <x/>
      <x v="56"/>
      <x v="1"/>
    </i>
    <i>
      <x v="27"/>
      <x v="13"/>
      <x v="64"/>
      <x v="1"/>
    </i>
    <i>
      <x v="28"/>
      <x v="21"/>
      <x v="16"/>
      <x v="2"/>
    </i>
    <i>
      <x v="29"/>
      <x v="25"/>
      <x v="13"/>
      <x v="2"/>
    </i>
    <i>
      <x v="30"/>
      <x v="30"/>
      <x v="14"/>
      <x v="2"/>
    </i>
    <i>
      <x v="31"/>
      <x v="35"/>
      <x v="15"/>
      <x v="2"/>
    </i>
    <i>
      <x v="32"/>
      <x v="38"/>
      <x v="10"/>
      <x v="2"/>
    </i>
    <i>
      <x v="33"/>
      <x v="41"/>
      <x v="11"/>
      <x v="2"/>
    </i>
    <i>
      <x v="35"/>
      <x v="10"/>
      <x v="53"/>
      <x/>
    </i>
    <i>
      <x v="36"/>
      <x v="10"/>
      <x v="34"/>
      <x/>
    </i>
    <i>
      <x v="37"/>
      <x v="10"/>
      <x v="52"/>
      <x/>
    </i>
    <i>
      <x v="38"/>
      <x v="45"/>
      <x v="54"/>
      <x/>
    </i>
    <i>
      <x v="39"/>
      <x v="47"/>
      <x v="55"/>
      <x/>
    </i>
    <i>
      <x v="40"/>
      <x v="10"/>
      <x v="49"/>
      <x/>
    </i>
    <i>
      <x v="41"/>
      <x v="10"/>
      <x v="50"/>
      <x/>
    </i>
    <i>
      <x v="42"/>
      <x v="16"/>
      <x v="17"/>
      <x v="2"/>
    </i>
    <i>
      <x v="43"/>
      <x v="5"/>
      <x v="23"/>
      <x v="2"/>
    </i>
    <i>
      <x v="44"/>
      <x v="7"/>
      <x v="19"/>
      <x v="2"/>
    </i>
    <i>
      <x v="45"/>
      <x v="17"/>
      <x v="18"/>
      <x v="2"/>
    </i>
    <i>
      <x v="46"/>
      <x v="49"/>
      <x v="20"/>
      <x v="2"/>
    </i>
    <i>
      <x v="47"/>
      <x v="4"/>
      <x v="23"/>
      <x v="2"/>
    </i>
    <i>
      <x v="48"/>
      <x v="6"/>
      <x v="25"/>
      <x v="2"/>
    </i>
    <i>
      <x v="49"/>
      <x v="8"/>
      <x v="26"/>
      <x v="2"/>
    </i>
    <i>
      <x v="50"/>
      <x v="14"/>
      <x v="21"/>
      <x v="2"/>
    </i>
    <i>
      <x v="51"/>
      <x v="18"/>
      <x v="39"/>
      <x/>
    </i>
    <i>
      <x v="52"/>
      <x v="47"/>
      <x v="40"/>
      <x/>
    </i>
    <i>
      <x v="53"/>
      <x v="47"/>
      <x v="42"/>
      <x/>
    </i>
    <i>
      <x v="54"/>
      <x v="47"/>
      <x v="44"/>
      <x/>
    </i>
    <i>
      <x v="55"/>
      <x v="47"/>
      <x v="45"/>
      <x/>
    </i>
    <i>
      <x v="56"/>
      <x v="47"/>
      <x v="43"/>
      <x/>
    </i>
    <i>
      <x v="57"/>
      <x v="20"/>
      <x v="46"/>
      <x/>
    </i>
    <i>
      <x v="58"/>
      <x v="20"/>
      <x v="47"/>
      <x/>
    </i>
    <i>
      <x v="59"/>
      <x v="48"/>
      <x v="48"/>
      <x v="2"/>
    </i>
    <i>
      <x v="60"/>
      <x v="27"/>
      <x v="65"/>
      <x v="2"/>
    </i>
    <i>
      <x v="61"/>
      <x v="44"/>
      <x v="27"/>
      <x v="2"/>
    </i>
    <i>
      <x v="64"/>
      <x/>
      <x v="61"/>
      <x v="2"/>
    </i>
    <i t="grand">
      <x/>
    </i>
  </rowItems>
  <colItems count="1">
    <i/>
  </colItems>
  <dataFields count="1">
    <dataField name="Sum of MATQT" fld="8" baseField="7" baseItem="2" numFmtId="2"/>
  </dataFields>
  <formats count="414">
    <format dxfId="413">
      <pivotArea type="all" dataOnly="0" outline="0" fieldPosition="0"/>
    </format>
    <format dxfId="412">
      <pivotArea outline="0" collapsedLevelsAreSubtotals="1" fieldPosition="0"/>
    </format>
    <format dxfId="411">
      <pivotArea field="4" type="button" dataOnly="0" labelOnly="1" outline="0" axis="axisRow" fieldPosition="0"/>
    </format>
    <format dxfId="410">
      <pivotArea field="3" type="button" dataOnly="0" labelOnly="1" outline="0" axis="axisRow" fieldPosition="1"/>
    </format>
    <format dxfId="409">
      <pivotArea field="5" type="button" dataOnly="0" labelOnly="1" outline="0" axis="axisRow" fieldPosition="2"/>
    </format>
    <format dxfId="408">
      <pivotArea field="7" type="button" dataOnly="0" labelOnly="1" outline="0" axis="axisRow" fieldPosition="3"/>
    </format>
    <format dxfId="407">
      <pivotArea dataOnly="0" labelOnly="1" outline="0" axis="axisValues" fieldPosition="0"/>
    </format>
    <format dxfId="406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405">
      <pivotArea dataOnly="0" labelOnly="1" fieldPosition="0">
        <references count="1">
          <reference field="4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404">
      <pivotArea dataOnly="0" labelOnly="1" grandRow="1" outline="0" fieldPosition="0"/>
    </format>
    <format dxfId="403">
      <pivotArea dataOnly="0" labelOnly="1" fieldPosition="0">
        <references count="2">
          <reference field="3" count="1">
            <x v="46"/>
          </reference>
          <reference field="4" count="1" selected="0">
            <x v="0"/>
          </reference>
        </references>
      </pivotArea>
    </format>
    <format dxfId="402">
      <pivotArea dataOnly="0" labelOnly="1" fieldPosition="0">
        <references count="2">
          <reference field="3" count="1">
            <x v="2"/>
          </reference>
          <reference field="4" count="1" selected="0">
            <x v="1"/>
          </reference>
        </references>
      </pivotArea>
    </format>
    <format dxfId="401">
      <pivotArea dataOnly="0" labelOnly="1" fieldPosition="0">
        <references count="2">
          <reference field="3" count="1">
            <x v="1"/>
          </reference>
          <reference field="4" count="1" selected="0">
            <x v="2"/>
          </reference>
        </references>
      </pivotArea>
    </format>
    <format dxfId="400">
      <pivotArea dataOnly="0" labelOnly="1" fieldPosition="0">
        <references count="2">
          <reference field="3" count="1">
            <x v="0"/>
          </reference>
          <reference field="4" count="1" selected="0">
            <x v="3"/>
          </reference>
        </references>
      </pivotArea>
    </format>
    <format dxfId="399">
      <pivotArea dataOnly="0" labelOnly="1" fieldPosition="0">
        <references count="2">
          <reference field="3" count="1">
            <x v="19"/>
          </reference>
          <reference field="4" count="1" selected="0">
            <x v="4"/>
          </reference>
        </references>
      </pivotArea>
    </format>
    <format dxfId="398">
      <pivotArea dataOnly="0" labelOnly="1" fieldPosition="0">
        <references count="2">
          <reference field="3" count="1">
            <x v="28"/>
          </reference>
          <reference field="4" count="1" selected="0">
            <x v="5"/>
          </reference>
        </references>
      </pivotArea>
    </format>
    <format dxfId="397">
      <pivotArea dataOnly="0" labelOnly="1" fieldPosition="0">
        <references count="2">
          <reference field="3" count="1">
            <x v="26"/>
          </reference>
          <reference field="4" count="1" selected="0">
            <x v="6"/>
          </reference>
        </references>
      </pivotArea>
    </format>
    <format dxfId="396">
      <pivotArea dataOnly="0" labelOnly="1" fieldPosition="0">
        <references count="2">
          <reference field="3" count="2">
            <x v="31"/>
            <x v="32"/>
          </reference>
          <reference field="4" count="1" selected="0">
            <x v="7"/>
          </reference>
        </references>
      </pivotArea>
    </format>
    <format dxfId="395">
      <pivotArea dataOnly="0" labelOnly="1" fieldPosition="0">
        <references count="2">
          <reference field="3" count="1">
            <x v="33"/>
          </reference>
          <reference field="4" count="1" selected="0">
            <x v="8"/>
          </reference>
        </references>
      </pivotArea>
    </format>
    <format dxfId="394">
      <pivotArea dataOnly="0" labelOnly="1" fieldPosition="0">
        <references count="2">
          <reference field="3" count="1">
            <x v="34"/>
          </reference>
          <reference field="4" count="1" selected="0">
            <x v="9"/>
          </reference>
        </references>
      </pivotArea>
    </format>
    <format dxfId="393">
      <pivotArea dataOnly="0" labelOnly="1" fieldPosition="0">
        <references count="2">
          <reference field="3" count="1">
            <x v="36"/>
          </reference>
          <reference field="4" count="1" selected="0">
            <x v="10"/>
          </reference>
        </references>
      </pivotArea>
    </format>
    <format dxfId="392">
      <pivotArea dataOnly="0" labelOnly="1" fieldPosition="0">
        <references count="2">
          <reference field="3" count="1">
            <x v="39"/>
          </reference>
          <reference field="4" count="1" selected="0">
            <x v="11"/>
          </reference>
        </references>
      </pivotArea>
    </format>
    <format dxfId="391">
      <pivotArea dataOnly="0" labelOnly="1" fieldPosition="0">
        <references count="2">
          <reference field="3" count="1">
            <x v="40"/>
          </reference>
          <reference field="4" count="1" selected="0">
            <x v="12"/>
          </reference>
        </references>
      </pivotArea>
    </format>
    <format dxfId="390">
      <pivotArea dataOnly="0" labelOnly="1" fieldPosition="0">
        <references count="2">
          <reference field="3" count="1">
            <x v="42"/>
          </reference>
          <reference field="4" count="1" selected="0">
            <x v="13"/>
          </reference>
        </references>
      </pivotArea>
    </format>
    <format dxfId="389">
      <pivotArea dataOnly="0" labelOnly="1" fieldPosition="0">
        <references count="2">
          <reference field="3" count="1">
            <x v="43"/>
          </reference>
          <reference field="4" count="1" selected="0">
            <x v="14"/>
          </reference>
        </references>
      </pivotArea>
    </format>
    <format dxfId="388">
      <pivotArea dataOnly="0" labelOnly="1" fieldPosition="0">
        <references count="2">
          <reference field="3" count="1">
            <x v="22"/>
          </reference>
          <reference field="4" count="1" selected="0">
            <x v="15"/>
          </reference>
        </references>
      </pivotArea>
    </format>
    <format dxfId="387">
      <pivotArea dataOnly="0" labelOnly="1" fieldPosition="0">
        <references count="2">
          <reference field="3" count="1">
            <x v="24"/>
          </reference>
          <reference field="4" count="1" selected="0">
            <x v="16"/>
          </reference>
        </references>
      </pivotArea>
    </format>
    <format dxfId="386">
      <pivotArea dataOnly="0" labelOnly="1" fieldPosition="0">
        <references count="2">
          <reference field="3" count="1">
            <x v="44"/>
          </reference>
          <reference field="4" count="1" selected="0">
            <x v="17"/>
          </reference>
        </references>
      </pivotArea>
    </format>
    <format dxfId="385">
      <pivotArea dataOnly="0" labelOnly="1" fieldPosition="0">
        <references count="2">
          <reference field="3" count="1">
            <x v="23"/>
          </reference>
          <reference field="4" count="1" selected="0">
            <x v="18"/>
          </reference>
        </references>
      </pivotArea>
    </format>
    <format dxfId="384">
      <pivotArea dataOnly="0" labelOnly="1" fieldPosition="0">
        <references count="2">
          <reference field="3" count="1">
            <x v="0"/>
          </reference>
          <reference field="4" count="1" selected="0">
            <x v="19"/>
          </reference>
        </references>
      </pivotArea>
    </format>
    <format dxfId="383">
      <pivotArea dataOnly="0" labelOnly="1" fieldPosition="0">
        <references count="2">
          <reference field="3" count="1">
            <x v="20"/>
          </reference>
          <reference field="4" count="1" selected="0">
            <x v="20"/>
          </reference>
        </references>
      </pivotArea>
    </format>
    <format dxfId="382">
      <pivotArea dataOnly="0" labelOnly="1" fieldPosition="0">
        <references count="2">
          <reference field="3" count="1">
            <x v="10"/>
          </reference>
          <reference field="4" count="1" selected="0">
            <x v="21"/>
          </reference>
        </references>
      </pivotArea>
    </format>
    <format dxfId="381">
      <pivotArea dataOnly="0" labelOnly="1" fieldPosition="0">
        <references count="2">
          <reference field="3" count="1">
            <x v="3"/>
          </reference>
          <reference field="4" count="1" selected="0">
            <x v="23"/>
          </reference>
        </references>
      </pivotArea>
    </format>
    <format dxfId="380">
      <pivotArea dataOnly="0" labelOnly="1" fieldPosition="0">
        <references count="2">
          <reference field="3" count="1">
            <x v="12"/>
          </reference>
          <reference field="4" count="1" selected="0">
            <x v="24"/>
          </reference>
        </references>
      </pivotArea>
    </format>
    <format dxfId="379">
      <pivotArea dataOnly="0" labelOnly="1" fieldPosition="0">
        <references count="2">
          <reference field="3" count="1">
            <x v="10"/>
          </reference>
          <reference field="4" count="1" selected="0">
            <x v="25"/>
          </reference>
        </references>
      </pivotArea>
    </format>
    <format dxfId="378">
      <pivotArea dataOnly="0" labelOnly="1" fieldPosition="0">
        <references count="2">
          <reference field="3" count="1">
            <x v="0"/>
          </reference>
          <reference field="4" count="1" selected="0">
            <x v="26"/>
          </reference>
        </references>
      </pivotArea>
    </format>
    <format dxfId="377">
      <pivotArea dataOnly="0" labelOnly="1" fieldPosition="0">
        <references count="2">
          <reference field="3" count="2">
            <x v="11"/>
            <x v="13"/>
          </reference>
          <reference field="4" count="1" selected="0">
            <x v="27"/>
          </reference>
        </references>
      </pivotArea>
    </format>
    <format dxfId="376">
      <pivotArea dataOnly="0" labelOnly="1" fieldPosition="0">
        <references count="2">
          <reference field="3" count="1">
            <x v="21"/>
          </reference>
          <reference field="4" count="1" selected="0">
            <x v="28"/>
          </reference>
        </references>
      </pivotArea>
    </format>
    <format dxfId="375">
      <pivotArea dataOnly="0" labelOnly="1" fieldPosition="0">
        <references count="2">
          <reference field="3" count="2">
            <x v="25"/>
            <x v="27"/>
          </reference>
          <reference field="4" count="1" selected="0">
            <x v="29"/>
          </reference>
        </references>
      </pivotArea>
    </format>
    <format dxfId="374">
      <pivotArea dataOnly="0" labelOnly="1" fieldPosition="0">
        <references count="2">
          <reference field="3" count="1">
            <x v="30"/>
          </reference>
          <reference field="4" count="1" selected="0">
            <x v="30"/>
          </reference>
        </references>
      </pivotArea>
    </format>
    <format dxfId="373">
      <pivotArea dataOnly="0" labelOnly="1" fieldPosition="0">
        <references count="2">
          <reference field="3" count="1">
            <x v="35"/>
          </reference>
          <reference field="4" count="1" selected="0">
            <x v="31"/>
          </reference>
        </references>
      </pivotArea>
    </format>
    <format dxfId="372">
      <pivotArea dataOnly="0" labelOnly="1" fieldPosition="0">
        <references count="2">
          <reference field="3" count="1">
            <x v="38"/>
          </reference>
          <reference field="4" count="1" selected="0">
            <x v="32"/>
          </reference>
        </references>
      </pivotArea>
    </format>
    <format dxfId="371">
      <pivotArea dataOnly="0" labelOnly="1" fieldPosition="0">
        <references count="2">
          <reference field="3" count="1">
            <x v="41"/>
          </reference>
          <reference field="4" count="1" selected="0">
            <x v="33"/>
          </reference>
        </references>
      </pivotArea>
    </format>
    <format dxfId="370">
      <pivotArea dataOnly="0" labelOnly="1" fieldPosition="0">
        <references count="2">
          <reference field="3" count="6">
            <x v="25"/>
            <x v="29"/>
            <x v="30"/>
            <x v="35"/>
            <x v="37"/>
            <x v="41"/>
          </reference>
          <reference field="4" count="1" selected="0">
            <x v="34"/>
          </reference>
        </references>
      </pivotArea>
    </format>
    <format dxfId="369">
      <pivotArea dataOnly="0" labelOnly="1" fieldPosition="0">
        <references count="2">
          <reference field="3" count="1">
            <x v="10"/>
          </reference>
          <reference field="4" count="1" selected="0">
            <x v="35"/>
          </reference>
        </references>
      </pivotArea>
    </format>
    <format dxfId="368">
      <pivotArea dataOnly="0" labelOnly="1" fieldPosition="0">
        <references count="2">
          <reference field="3" count="1">
            <x v="45"/>
          </reference>
          <reference field="4" count="1" selected="0">
            <x v="38"/>
          </reference>
        </references>
      </pivotArea>
    </format>
    <format dxfId="367">
      <pivotArea dataOnly="0" labelOnly="1" fieldPosition="0">
        <references count="2">
          <reference field="3" count="1">
            <x v="47"/>
          </reference>
          <reference field="4" count="1" selected="0">
            <x v="39"/>
          </reference>
        </references>
      </pivotArea>
    </format>
    <format dxfId="366">
      <pivotArea dataOnly="0" labelOnly="1" fieldPosition="0">
        <references count="2">
          <reference field="3" count="1">
            <x v="10"/>
          </reference>
          <reference field="4" count="1" selected="0">
            <x v="40"/>
          </reference>
        </references>
      </pivotArea>
    </format>
    <format dxfId="365">
      <pivotArea dataOnly="0" labelOnly="1" fieldPosition="0">
        <references count="2">
          <reference field="3" count="1">
            <x v="16"/>
          </reference>
          <reference field="4" count="1" selected="0">
            <x v="42"/>
          </reference>
        </references>
      </pivotArea>
    </format>
    <format dxfId="364">
      <pivotArea dataOnly="0" labelOnly="1" fieldPosition="0">
        <references count="2">
          <reference field="3" count="1">
            <x v="5"/>
          </reference>
          <reference field="4" count="1" selected="0">
            <x v="43"/>
          </reference>
        </references>
      </pivotArea>
    </format>
    <format dxfId="363">
      <pivotArea dataOnly="0" labelOnly="1" fieldPosition="0">
        <references count="2">
          <reference field="3" count="1">
            <x v="7"/>
          </reference>
          <reference field="4" count="1" selected="0">
            <x v="44"/>
          </reference>
        </references>
      </pivotArea>
    </format>
    <format dxfId="362">
      <pivotArea dataOnly="0" labelOnly="1" fieldPosition="0">
        <references count="2">
          <reference field="3" count="2">
            <x v="15"/>
            <x v="17"/>
          </reference>
          <reference field="4" count="1" selected="0">
            <x v="45"/>
          </reference>
        </references>
      </pivotArea>
    </format>
    <format dxfId="361">
      <pivotArea dataOnly="0" labelOnly="1" fieldPosition="0">
        <references count="2">
          <reference field="3" count="1">
            <x v="9"/>
          </reference>
          <reference field="4" count="1" selected="0">
            <x v="46"/>
          </reference>
        </references>
      </pivotArea>
    </format>
    <format dxfId="360">
      <pivotArea dataOnly="0" labelOnly="1" fieldPosition="0">
        <references count="2">
          <reference field="3" count="1">
            <x v="4"/>
          </reference>
          <reference field="4" count="1" selected="0">
            <x v="47"/>
          </reference>
        </references>
      </pivotArea>
    </format>
    <format dxfId="359">
      <pivotArea dataOnly="0" labelOnly="1" fieldPosition="0">
        <references count="2">
          <reference field="3" count="1">
            <x v="6"/>
          </reference>
          <reference field="4" count="1" selected="0">
            <x v="48"/>
          </reference>
        </references>
      </pivotArea>
    </format>
    <format dxfId="358">
      <pivotArea dataOnly="0" labelOnly="1" fieldPosition="0">
        <references count="2">
          <reference field="3" count="1">
            <x v="8"/>
          </reference>
          <reference field="4" count="1" selected="0">
            <x v="49"/>
          </reference>
        </references>
      </pivotArea>
    </format>
    <format dxfId="357">
      <pivotArea dataOnly="0" labelOnly="1" fieldPosition="0">
        <references count="2">
          <reference field="3" count="1">
            <x v="14"/>
          </reference>
          <reference field="4" count="1" selected="0">
            <x v="50"/>
          </reference>
        </references>
      </pivotArea>
    </format>
    <format dxfId="356">
      <pivotArea dataOnly="0" labelOnly="1" fieldPosition="0">
        <references count="2">
          <reference field="3" count="1">
            <x v="18"/>
          </reference>
          <reference field="4" count="1" selected="0">
            <x v="51"/>
          </reference>
        </references>
      </pivotArea>
    </format>
    <format dxfId="355">
      <pivotArea dataOnly="0" labelOnly="1" fieldPosition="0">
        <references count="2">
          <reference field="3" count="1">
            <x v="47"/>
          </reference>
          <reference field="4" count="1" selected="0">
            <x v="52"/>
          </reference>
        </references>
      </pivotArea>
    </format>
    <format dxfId="354">
      <pivotArea dataOnly="0" labelOnly="1" fieldPosition="0">
        <references count="2">
          <reference field="3" count="1">
            <x v="20"/>
          </reference>
          <reference field="4" count="1" selected="0">
            <x v="57"/>
          </reference>
        </references>
      </pivotArea>
    </format>
    <format dxfId="353">
      <pivotArea dataOnly="0" labelOnly="1" fieldPosition="0">
        <references count="2">
          <reference field="3" count="1">
            <x v="48"/>
          </reference>
          <reference field="4" count="1" selected="0">
            <x v="59"/>
          </reference>
        </references>
      </pivotArea>
    </format>
    <format dxfId="352">
      <pivotArea dataOnly="0" labelOnly="1" fieldPosition="0">
        <references count="3">
          <reference field="3" count="1" selected="0">
            <x v="46"/>
          </reference>
          <reference field="4" count="1" selected="0">
            <x v="0"/>
          </reference>
          <reference field="5" count="1">
            <x v="59"/>
          </reference>
        </references>
      </pivotArea>
    </format>
    <format dxfId="351">
      <pivotArea dataOnly="0" labelOnly="1" fieldPosition="0">
        <references count="3">
          <reference field="3" count="1" selected="0">
            <x v="2"/>
          </reference>
          <reference field="4" count="1" selected="0">
            <x v="1"/>
          </reference>
          <reference field="5" count="1">
            <x v="32"/>
          </reference>
        </references>
      </pivotArea>
    </format>
    <format dxfId="350">
      <pivotArea dataOnly="0" labelOnly="1" fieldPosition="0">
        <references count="3">
          <reference field="3" count="1" selected="0">
            <x v="1"/>
          </reference>
          <reference field="4" count="1" selected="0">
            <x v="2"/>
          </reference>
          <reference field="5" count="1">
            <x v="37"/>
          </reference>
        </references>
      </pivotArea>
    </format>
    <format dxfId="349">
      <pivotArea dataOnly="0" labelOnly="1" fieldPosition="0">
        <references count="3">
          <reference field="3" count="1" selected="0">
            <x v="0"/>
          </reference>
          <reference field="4" count="1" selected="0">
            <x v="3"/>
          </reference>
          <reference field="5" count="1">
            <x v="33"/>
          </reference>
        </references>
      </pivotArea>
    </format>
    <format dxfId="348">
      <pivotArea dataOnly="0" labelOnly="1" fieldPosition="0">
        <references count="3">
          <reference field="3" count="1" selected="0">
            <x v="19"/>
          </reference>
          <reference field="4" count="1" selected="0">
            <x v="4"/>
          </reference>
          <reference field="5" count="1">
            <x v="60"/>
          </reference>
        </references>
      </pivotArea>
    </format>
    <format dxfId="347">
      <pivotArea dataOnly="0" labelOnly="1" fieldPosition="0">
        <references count="3">
          <reference field="3" count="1" selected="0">
            <x v="28"/>
          </reference>
          <reference field="4" count="1" selected="0">
            <x v="5"/>
          </reference>
          <reference field="5" count="1">
            <x v="9"/>
          </reference>
        </references>
      </pivotArea>
    </format>
    <format dxfId="346">
      <pivotArea dataOnly="0" labelOnly="1" fieldPosition="0">
        <references count="3">
          <reference field="3" count="1" selected="0">
            <x v="26"/>
          </reference>
          <reference field="4" count="1" selected="0">
            <x v="6"/>
          </reference>
          <reference field="5" count="1">
            <x v="4"/>
          </reference>
        </references>
      </pivotArea>
    </format>
    <format dxfId="345">
      <pivotArea dataOnly="0" labelOnly="1" fieldPosition="0">
        <references count="3">
          <reference field="3" count="1" selected="0">
            <x v="31"/>
          </reference>
          <reference field="4" count="1" selected="0">
            <x v="7"/>
          </reference>
          <reference field="5" count="1">
            <x v="7"/>
          </reference>
        </references>
      </pivotArea>
    </format>
    <format dxfId="344">
      <pivotArea dataOnly="0" labelOnly="1" fieldPosition="0">
        <references count="3">
          <reference field="3" count="1" selected="0">
            <x v="33"/>
          </reference>
          <reference field="4" count="1" selected="0">
            <x v="8"/>
          </reference>
          <reference field="5" count="1">
            <x v="5"/>
          </reference>
        </references>
      </pivotArea>
    </format>
    <format dxfId="343">
      <pivotArea dataOnly="0" labelOnly="1" fieldPosition="0">
        <references count="3">
          <reference field="3" count="1" selected="0">
            <x v="34"/>
          </reference>
          <reference field="4" count="1" selected="0">
            <x v="9"/>
          </reference>
          <reference field="5" count="1">
            <x v="6"/>
          </reference>
        </references>
      </pivotArea>
    </format>
    <format dxfId="342">
      <pivotArea dataOnly="0" labelOnly="1" fieldPosition="0">
        <references count="3">
          <reference field="3" count="1" selected="0">
            <x v="36"/>
          </reference>
          <reference field="4" count="1" selected="0">
            <x v="10"/>
          </reference>
          <reference field="5" count="1">
            <x v="8"/>
          </reference>
        </references>
      </pivotArea>
    </format>
    <format dxfId="341">
      <pivotArea dataOnly="0" labelOnly="1" fieldPosition="0">
        <references count="3">
          <reference field="3" count="1" selected="0">
            <x v="39"/>
          </reference>
          <reference field="4" count="1" selected="0">
            <x v="11"/>
          </reference>
          <reference field="5" count="1">
            <x v="1"/>
          </reference>
        </references>
      </pivotArea>
    </format>
    <format dxfId="340">
      <pivotArea dataOnly="0" labelOnly="1" fieldPosition="0">
        <references count="3">
          <reference field="3" count="1" selected="0">
            <x v="40"/>
          </reference>
          <reference field="4" count="1" selected="0">
            <x v="12"/>
          </reference>
          <reference field="5" count="1">
            <x v="0"/>
          </reference>
        </references>
      </pivotArea>
    </format>
    <format dxfId="339">
      <pivotArea dataOnly="0" labelOnly="1" fieldPosition="0">
        <references count="3">
          <reference field="3" count="1" selected="0">
            <x v="42"/>
          </reference>
          <reference field="4" count="1" selected="0">
            <x v="13"/>
          </reference>
          <reference field="5" count="1">
            <x v="2"/>
          </reference>
        </references>
      </pivotArea>
    </format>
    <format dxfId="338">
      <pivotArea dataOnly="0" labelOnly="1" fieldPosition="0">
        <references count="3">
          <reference field="3" count="1" selected="0">
            <x v="43"/>
          </reference>
          <reference field="4" count="1" selected="0">
            <x v="14"/>
          </reference>
          <reference field="5" count="1">
            <x v="3"/>
          </reference>
        </references>
      </pivotArea>
    </format>
    <format dxfId="337">
      <pivotArea dataOnly="0" labelOnly="1" fieldPosition="0">
        <references count="3">
          <reference field="3" count="1" selected="0">
            <x v="22"/>
          </reference>
          <reference field="4" count="1" selected="0">
            <x v="15"/>
          </reference>
          <reference field="5" count="1">
            <x v="29"/>
          </reference>
        </references>
      </pivotArea>
    </format>
    <format dxfId="336">
      <pivotArea dataOnly="0" labelOnly="1" fieldPosition="0">
        <references count="3">
          <reference field="3" count="1" selected="0">
            <x v="24"/>
          </reference>
          <reference field="4" count="1" selected="0">
            <x v="16"/>
          </reference>
          <reference field="5" count="1">
            <x v="31"/>
          </reference>
        </references>
      </pivotArea>
    </format>
    <format dxfId="335">
      <pivotArea dataOnly="0" labelOnly="1" fieldPosition="0">
        <references count="3">
          <reference field="3" count="1" selected="0">
            <x v="44"/>
          </reference>
          <reference field="4" count="1" selected="0">
            <x v="17"/>
          </reference>
          <reference field="5" count="1">
            <x v="27"/>
          </reference>
        </references>
      </pivotArea>
    </format>
    <format dxfId="334">
      <pivotArea dataOnly="0" labelOnly="1" fieldPosition="0">
        <references count="3">
          <reference field="3" count="1" selected="0">
            <x v="23"/>
          </reference>
          <reference field="4" count="1" selected="0">
            <x v="18"/>
          </reference>
          <reference field="5" count="1">
            <x v="30"/>
          </reference>
        </references>
      </pivotArea>
    </format>
    <format dxfId="333">
      <pivotArea dataOnly="0" labelOnly="1" fieldPosition="0">
        <references count="3">
          <reference field="3" count="1" selected="0">
            <x v="0"/>
          </reference>
          <reference field="4" count="1" selected="0">
            <x v="19"/>
          </reference>
          <reference field="5" count="1">
            <x v="61"/>
          </reference>
        </references>
      </pivotArea>
    </format>
    <format dxfId="332">
      <pivotArea dataOnly="0" labelOnly="1" fieldPosition="0">
        <references count="3">
          <reference field="3" count="1" selected="0">
            <x v="20"/>
          </reference>
          <reference field="4" count="1" selected="0">
            <x v="20"/>
          </reference>
          <reference field="5" count="2">
            <x v="38"/>
            <x v="62"/>
          </reference>
        </references>
      </pivotArea>
    </format>
    <format dxfId="331">
      <pivotArea dataOnly="0" labelOnly="1" fieldPosition="0">
        <references count="3">
          <reference field="3" count="1" selected="0">
            <x v="10"/>
          </reference>
          <reference field="4" count="1" selected="0">
            <x v="21"/>
          </reference>
          <reference field="5" count="1">
            <x v="63"/>
          </reference>
        </references>
      </pivotArea>
    </format>
    <format dxfId="330">
      <pivotArea dataOnly="0" labelOnly="1" fieldPosition="0">
        <references count="3">
          <reference field="3" count="1" selected="0">
            <x v="10"/>
          </reference>
          <reference field="4" count="1" selected="0">
            <x v="22"/>
          </reference>
          <reference field="5" count="1">
            <x v="57"/>
          </reference>
        </references>
      </pivotArea>
    </format>
    <format dxfId="329">
      <pivotArea dataOnly="0" labelOnly="1" fieldPosition="0">
        <references count="3">
          <reference field="3" count="1" selected="0">
            <x v="3"/>
          </reference>
          <reference field="4" count="1" selected="0">
            <x v="23"/>
          </reference>
          <reference field="5" count="1">
            <x v="28"/>
          </reference>
        </references>
      </pivotArea>
    </format>
    <format dxfId="328">
      <pivotArea dataOnly="0" labelOnly="1" fieldPosition="0">
        <references count="3">
          <reference field="3" count="1" selected="0">
            <x v="12"/>
          </reference>
          <reference field="4" count="1" selected="0">
            <x v="24"/>
          </reference>
          <reference field="5" count="1">
            <x v="36"/>
          </reference>
        </references>
      </pivotArea>
    </format>
    <format dxfId="327">
      <pivotArea dataOnly="0" labelOnly="1" fieldPosition="0">
        <references count="3">
          <reference field="3" count="1" selected="0">
            <x v="10"/>
          </reference>
          <reference field="4" count="1" selected="0">
            <x v="25"/>
          </reference>
          <reference field="5" count="1">
            <x v="51"/>
          </reference>
        </references>
      </pivotArea>
    </format>
    <format dxfId="326">
      <pivotArea dataOnly="0" labelOnly="1" fieldPosition="0">
        <references count="3">
          <reference field="3" count="1" selected="0">
            <x v="0"/>
          </reference>
          <reference field="4" count="1" selected="0">
            <x v="26"/>
          </reference>
          <reference field="5" count="1">
            <x v="56"/>
          </reference>
        </references>
      </pivotArea>
    </format>
    <format dxfId="325">
      <pivotArea dataOnly="0" labelOnly="1" fieldPosition="0">
        <references count="3">
          <reference field="3" count="1" selected="0">
            <x v="11"/>
          </reference>
          <reference field="4" count="1" selected="0">
            <x v="27"/>
          </reference>
          <reference field="5" count="1">
            <x v="64"/>
          </reference>
        </references>
      </pivotArea>
    </format>
    <format dxfId="324">
      <pivotArea dataOnly="0" labelOnly="1" fieldPosition="0">
        <references count="3">
          <reference field="3" count="1" selected="0">
            <x v="21"/>
          </reference>
          <reference field="4" count="1" selected="0">
            <x v="28"/>
          </reference>
          <reference field="5" count="1">
            <x v="16"/>
          </reference>
        </references>
      </pivotArea>
    </format>
    <format dxfId="323">
      <pivotArea dataOnly="0" labelOnly="1" fieldPosition="0">
        <references count="3">
          <reference field="3" count="1" selected="0">
            <x v="25"/>
          </reference>
          <reference field="4" count="1" selected="0">
            <x v="29"/>
          </reference>
          <reference field="5" count="1">
            <x v="13"/>
          </reference>
        </references>
      </pivotArea>
    </format>
    <format dxfId="322">
      <pivotArea dataOnly="0" labelOnly="1" fieldPosition="0">
        <references count="3">
          <reference field="3" count="1" selected="0">
            <x v="30"/>
          </reference>
          <reference field="4" count="1" selected="0">
            <x v="30"/>
          </reference>
          <reference field="5" count="1">
            <x v="14"/>
          </reference>
        </references>
      </pivotArea>
    </format>
    <format dxfId="321">
      <pivotArea dataOnly="0" labelOnly="1" fieldPosition="0">
        <references count="3">
          <reference field="3" count="1" selected="0">
            <x v="35"/>
          </reference>
          <reference field="4" count="1" selected="0">
            <x v="31"/>
          </reference>
          <reference field="5" count="1">
            <x v="15"/>
          </reference>
        </references>
      </pivotArea>
    </format>
    <format dxfId="320">
      <pivotArea dataOnly="0" labelOnly="1" fieldPosition="0">
        <references count="3">
          <reference field="3" count="1" selected="0">
            <x v="38"/>
          </reference>
          <reference field="4" count="1" selected="0">
            <x v="32"/>
          </reference>
          <reference field="5" count="1">
            <x v="10"/>
          </reference>
        </references>
      </pivotArea>
    </format>
    <format dxfId="319">
      <pivotArea dataOnly="0" labelOnly="1" fieldPosition="0">
        <references count="3">
          <reference field="3" count="1" selected="0">
            <x v="41"/>
          </reference>
          <reference field="4" count="1" selected="0">
            <x v="33"/>
          </reference>
          <reference field="5" count="1">
            <x v="11"/>
          </reference>
        </references>
      </pivotArea>
    </format>
    <format dxfId="318">
      <pivotArea dataOnly="0" labelOnly="1" fieldPosition="0">
        <references count="3">
          <reference field="3" count="1" selected="0">
            <x v="25"/>
          </reference>
          <reference field="4" count="1" selected="0">
            <x v="34"/>
          </reference>
          <reference field="5" count="1">
            <x v="13"/>
          </reference>
        </references>
      </pivotArea>
    </format>
    <format dxfId="317">
      <pivotArea dataOnly="0" labelOnly="1" fieldPosition="0">
        <references count="3">
          <reference field="3" count="1" selected="0">
            <x v="29"/>
          </reference>
          <reference field="4" count="1" selected="0">
            <x v="34"/>
          </reference>
          <reference field="5" count="1">
            <x v="14"/>
          </reference>
        </references>
      </pivotArea>
    </format>
    <format dxfId="316">
      <pivotArea dataOnly="0" labelOnly="1" fieldPosition="0">
        <references count="3">
          <reference field="3" count="1" selected="0">
            <x v="35"/>
          </reference>
          <reference field="4" count="1" selected="0">
            <x v="34"/>
          </reference>
          <reference field="5" count="1">
            <x v="15"/>
          </reference>
        </references>
      </pivotArea>
    </format>
    <format dxfId="315">
      <pivotArea dataOnly="0" labelOnly="1" fieldPosition="0">
        <references count="3">
          <reference field="3" count="1" selected="0">
            <x v="37"/>
          </reference>
          <reference field="4" count="1" selected="0">
            <x v="34"/>
          </reference>
          <reference field="5" count="1">
            <x v="10"/>
          </reference>
        </references>
      </pivotArea>
    </format>
    <format dxfId="314">
      <pivotArea dataOnly="0" labelOnly="1" fieldPosition="0">
        <references count="3">
          <reference field="3" count="1" selected="0">
            <x v="41"/>
          </reference>
          <reference field="4" count="1" selected="0">
            <x v="34"/>
          </reference>
          <reference field="5" count="2">
            <x v="11"/>
            <x v="12"/>
          </reference>
        </references>
      </pivotArea>
    </format>
    <format dxfId="313">
      <pivotArea dataOnly="0" labelOnly="1" fieldPosition="0">
        <references count="3">
          <reference field="3" count="1" selected="0">
            <x v="10"/>
          </reference>
          <reference field="4" count="1" selected="0">
            <x v="35"/>
          </reference>
          <reference field="5" count="1">
            <x v="53"/>
          </reference>
        </references>
      </pivotArea>
    </format>
    <format dxfId="312">
      <pivotArea dataOnly="0" labelOnly="1" fieldPosition="0">
        <references count="3">
          <reference field="3" count="1" selected="0">
            <x v="10"/>
          </reference>
          <reference field="4" count="1" selected="0">
            <x v="36"/>
          </reference>
          <reference field="5" count="1">
            <x v="34"/>
          </reference>
        </references>
      </pivotArea>
    </format>
    <format dxfId="311">
      <pivotArea dataOnly="0" labelOnly="1" fieldPosition="0">
        <references count="3">
          <reference field="3" count="1" selected="0">
            <x v="10"/>
          </reference>
          <reference field="4" count="1" selected="0">
            <x v="37"/>
          </reference>
          <reference field="5" count="2">
            <x v="35"/>
            <x v="52"/>
          </reference>
        </references>
      </pivotArea>
    </format>
    <format dxfId="310">
      <pivotArea dataOnly="0" labelOnly="1" fieldPosition="0">
        <references count="3">
          <reference field="3" count="1" selected="0">
            <x v="45"/>
          </reference>
          <reference field="4" count="1" selected="0">
            <x v="38"/>
          </reference>
          <reference field="5" count="1">
            <x v="54"/>
          </reference>
        </references>
      </pivotArea>
    </format>
    <format dxfId="309">
      <pivotArea dataOnly="0" labelOnly="1" fieldPosition="0">
        <references count="3">
          <reference field="3" count="1" selected="0">
            <x v="47"/>
          </reference>
          <reference field="4" count="1" selected="0">
            <x v="39"/>
          </reference>
          <reference field="5" count="1">
            <x v="55"/>
          </reference>
        </references>
      </pivotArea>
    </format>
    <format dxfId="308">
      <pivotArea dataOnly="0" labelOnly="1" fieldPosition="0">
        <references count="3">
          <reference field="3" count="1" selected="0">
            <x v="10"/>
          </reference>
          <reference field="4" count="1" selected="0">
            <x v="40"/>
          </reference>
          <reference field="5" count="2">
            <x v="49"/>
            <x v="58"/>
          </reference>
        </references>
      </pivotArea>
    </format>
    <format dxfId="307">
      <pivotArea dataOnly="0" labelOnly="1" fieldPosition="0">
        <references count="3">
          <reference field="3" count="1" selected="0">
            <x v="10"/>
          </reference>
          <reference field="4" count="1" selected="0">
            <x v="41"/>
          </reference>
          <reference field="5" count="1">
            <x v="50"/>
          </reference>
        </references>
      </pivotArea>
    </format>
    <format dxfId="306">
      <pivotArea dataOnly="0" labelOnly="1" fieldPosition="0">
        <references count="3">
          <reference field="3" count="1" selected="0">
            <x v="16"/>
          </reference>
          <reference field="4" count="1" selected="0">
            <x v="42"/>
          </reference>
          <reference field="5" count="1">
            <x v="17"/>
          </reference>
        </references>
      </pivotArea>
    </format>
    <format dxfId="305">
      <pivotArea dataOnly="0" labelOnly="1" fieldPosition="0">
        <references count="3">
          <reference field="3" count="1" selected="0">
            <x v="5"/>
          </reference>
          <reference field="4" count="1" selected="0">
            <x v="43"/>
          </reference>
          <reference field="5" count="1">
            <x v="23"/>
          </reference>
        </references>
      </pivotArea>
    </format>
    <format dxfId="304">
      <pivotArea dataOnly="0" labelOnly="1" fieldPosition="0">
        <references count="3">
          <reference field="3" count="1" selected="0">
            <x v="7"/>
          </reference>
          <reference field="4" count="1" selected="0">
            <x v="44"/>
          </reference>
          <reference field="5" count="1">
            <x v="19"/>
          </reference>
        </references>
      </pivotArea>
    </format>
    <format dxfId="303">
      <pivotArea dataOnly="0" labelOnly="1" fieldPosition="0">
        <references count="3">
          <reference field="3" count="1" selected="0">
            <x v="15"/>
          </reference>
          <reference field="4" count="1" selected="0">
            <x v="45"/>
          </reference>
          <reference field="5" count="1">
            <x v="18"/>
          </reference>
        </references>
      </pivotArea>
    </format>
    <format dxfId="302">
      <pivotArea dataOnly="0" labelOnly="1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20"/>
          </reference>
        </references>
      </pivotArea>
    </format>
    <format dxfId="301">
      <pivotArea dataOnly="0" labelOnly="1" fieldPosition="0">
        <references count="3">
          <reference field="3" count="1" selected="0">
            <x v="4"/>
          </reference>
          <reference field="4" count="1" selected="0">
            <x v="47"/>
          </reference>
          <reference field="5" count="2">
            <x v="23"/>
            <x v="24"/>
          </reference>
        </references>
      </pivotArea>
    </format>
    <format dxfId="300">
      <pivotArea dataOnly="0" labelOnly="1" fieldPosition="0">
        <references count="3">
          <reference field="3" count="1" selected="0">
            <x v="6"/>
          </reference>
          <reference field="4" count="1" selected="0">
            <x v="48"/>
          </reference>
          <reference field="5" count="2">
            <x v="19"/>
            <x v="25"/>
          </reference>
        </references>
      </pivotArea>
    </format>
    <format dxfId="299">
      <pivotArea dataOnly="0" labelOnly="1" fieldPosition="0">
        <references count="3">
          <reference field="3" count="1" selected="0">
            <x v="8"/>
          </reference>
          <reference field="4" count="1" selected="0">
            <x v="49"/>
          </reference>
          <reference field="5" count="1">
            <x v="26"/>
          </reference>
        </references>
      </pivotArea>
    </format>
    <format dxfId="298">
      <pivotArea dataOnly="0" labelOnly="1" fieldPosition="0">
        <references count="3">
          <reference field="3" count="1" selected="0">
            <x v="14"/>
          </reference>
          <reference field="4" count="1" selected="0">
            <x v="50"/>
          </reference>
          <reference field="5" count="2">
            <x v="21"/>
            <x v="22"/>
          </reference>
        </references>
      </pivotArea>
    </format>
    <format dxfId="297">
      <pivotArea dataOnly="0" labelOnly="1" fieldPosition="0">
        <references count="3">
          <reference field="3" count="1" selected="0">
            <x v="18"/>
          </reference>
          <reference field="4" count="1" selected="0">
            <x v="51"/>
          </reference>
          <reference field="5" count="2">
            <x v="39"/>
            <x v="47"/>
          </reference>
        </references>
      </pivotArea>
    </format>
    <format dxfId="296">
      <pivotArea dataOnly="0" labelOnly="1" fieldPosition="0">
        <references count="3">
          <reference field="3" count="1" selected="0">
            <x v="47"/>
          </reference>
          <reference field="4" count="1" selected="0">
            <x v="52"/>
          </reference>
          <reference field="5" count="1">
            <x v="40"/>
          </reference>
        </references>
      </pivotArea>
    </format>
    <format dxfId="295">
      <pivotArea dataOnly="0" labelOnly="1" fieldPosition="0">
        <references count="3">
          <reference field="3" count="1" selected="0">
            <x v="47"/>
          </reference>
          <reference field="4" count="1" selected="0">
            <x v="53"/>
          </reference>
          <reference field="5" count="2">
            <x v="41"/>
            <x v="42"/>
          </reference>
        </references>
      </pivotArea>
    </format>
    <format dxfId="294">
      <pivotArea dataOnly="0" labelOnly="1" fieldPosition="0">
        <references count="3">
          <reference field="3" count="1" selected="0">
            <x v="47"/>
          </reference>
          <reference field="4" count="1" selected="0">
            <x v="54"/>
          </reference>
          <reference field="5" count="1">
            <x v="44"/>
          </reference>
        </references>
      </pivotArea>
    </format>
    <format dxfId="293">
      <pivotArea dataOnly="0" labelOnly="1" fieldPosition="0">
        <references count="3">
          <reference field="3" count="1" selected="0">
            <x v="47"/>
          </reference>
          <reference field="4" count="1" selected="0">
            <x v="55"/>
          </reference>
          <reference field="5" count="1">
            <x v="45"/>
          </reference>
        </references>
      </pivotArea>
    </format>
    <format dxfId="292">
      <pivotArea dataOnly="0" labelOnly="1" fieldPosition="0">
        <references count="3">
          <reference field="3" count="1" selected="0">
            <x v="47"/>
          </reference>
          <reference field="4" count="1" selected="0">
            <x v="56"/>
          </reference>
          <reference field="5" count="1">
            <x v="43"/>
          </reference>
        </references>
      </pivotArea>
    </format>
    <format dxfId="291">
      <pivotArea dataOnly="0" labelOnly="1" fieldPosition="0">
        <references count="3">
          <reference field="3" count="1" selected="0">
            <x v="20"/>
          </reference>
          <reference field="4" count="1" selected="0">
            <x v="57"/>
          </reference>
          <reference field="5" count="1">
            <x v="46"/>
          </reference>
        </references>
      </pivotArea>
    </format>
    <format dxfId="290">
      <pivotArea dataOnly="0" labelOnly="1" fieldPosition="0">
        <references count="3">
          <reference field="3" count="1" selected="0">
            <x v="20"/>
          </reference>
          <reference field="4" count="1" selected="0">
            <x v="58"/>
          </reference>
          <reference field="5" count="1">
            <x v="47"/>
          </reference>
        </references>
      </pivotArea>
    </format>
    <format dxfId="289">
      <pivotArea dataOnly="0" labelOnly="1" fieldPosition="0">
        <references count="3">
          <reference field="3" count="1" selected="0">
            <x v="48"/>
          </reference>
          <reference field="4" count="1" selected="0">
            <x v="59"/>
          </reference>
          <reference field="5" count="1">
            <x v="48"/>
          </reference>
        </references>
      </pivotArea>
    </format>
    <format dxfId="288">
      <pivotArea dataOnly="0" labelOnly="1" fieldPosition="0">
        <references count="4">
          <reference field="3" count="1" selected="0">
            <x v="46"/>
          </reference>
          <reference field="4" count="1" selected="0">
            <x v="0"/>
          </reference>
          <reference field="5" count="1" selected="0">
            <x v="59"/>
          </reference>
          <reference field="7" count="1">
            <x v="2"/>
          </reference>
        </references>
      </pivotArea>
    </format>
    <format dxfId="287">
      <pivotArea dataOnly="0" labelOnly="1" fieldPosition="0">
        <references count="4">
          <reference field="3" count="1" selected="0">
            <x v="2"/>
          </reference>
          <reference field="4" count="1" selected="0">
            <x v="1"/>
          </reference>
          <reference field="5" count="1" selected="0">
            <x v="32"/>
          </reference>
          <reference field="7" count="1">
            <x v="2"/>
          </reference>
        </references>
      </pivotArea>
    </format>
    <format dxfId="286">
      <pivotArea dataOnly="0" labelOnly="1" fieldPosition="0">
        <references count="4">
          <reference field="3" count="1" selected="0">
            <x v="1"/>
          </reference>
          <reference field="4" count="1" selected="0">
            <x v="2"/>
          </reference>
          <reference field="5" count="1" selected="0">
            <x v="37"/>
          </reference>
          <reference field="7" count="1">
            <x v="2"/>
          </reference>
        </references>
      </pivotArea>
    </format>
    <format dxfId="285">
      <pivotArea dataOnly="0" labelOnly="1" fieldPosition="0">
        <references count="4">
          <reference field="3" count="1" selected="0">
            <x v="0"/>
          </reference>
          <reference field="4" count="1" selected="0">
            <x v="3"/>
          </reference>
          <reference field="5" count="1" selected="0">
            <x v="33"/>
          </reference>
          <reference field="7" count="1">
            <x v="2"/>
          </reference>
        </references>
      </pivotArea>
    </format>
    <format dxfId="284">
      <pivotArea dataOnly="0" labelOnly="1" fieldPosition="0">
        <references count="4">
          <reference field="3" count="1" selected="0">
            <x v="19"/>
          </reference>
          <reference field="4" count="1" selected="0">
            <x v="4"/>
          </reference>
          <reference field="5" count="1" selected="0">
            <x v="60"/>
          </reference>
          <reference field="7" count="1">
            <x v="2"/>
          </reference>
        </references>
      </pivotArea>
    </format>
    <format dxfId="283">
      <pivotArea dataOnly="0" labelOnly="1" fieldPosition="0">
        <references count="4">
          <reference field="3" count="1" selected="0">
            <x v="28"/>
          </reference>
          <reference field="4" count="1" selected="0">
            <x v="5"/>
          </reference>
          <reference field="5" count="1" selected="0">
            <x v="9"/>
          </reference>
          <reference field="7" count="1">
            <x v="2"/>
          </reference>
        </references>
      </pivotArea>
    </format>
    <format dxfId="282">
      <pivotArea dataOnly="0" labelOnly="1" fieldPosition="0">
        <references count="4">
          <reference field="3" count="1" selected="0">
            <x v="26"/>
          </reference>
          <reference field="4" count="1" selected="0">
            <x v="6"/>
          </reference>
          <reference field="5" count="1" selected="0">
            <x v="4"/>
          </reference>
          <reference field="7" count="1">
            <x v="2"/>
          </reference>
        </references>
      </pivotArea>
    </format>
    <format dxfId="281">
      <pivotArea dataOnly="0" labelOnly="1" fieldPosition="0">
        <references count="4">
          <reference field="3" count="1" selected="0">
            <x v="31"/>
          </reference>
          <reference field="4" count="1" selected="0">
            <x v="7"/>
          </reference>
          <reference field="5" count="1" selected="0">
            <x v="7"/>
          </reference>
          <reference field="7" count="1">
            <x v="2"/>
          </reference>
        </references>
      </pivotArea>
    </format>
    <format dxfId="280">
      <pivotArea dataOnly="0" labelOnly="1" fieldPosition="0">
        <references count="4">
          <reference field="3" count="1" selected="0">
            <x v="32"/>
          </reference>
          <reference field="4" count="1" selected="0">
            <x v="7"/>
          </reference>
          <reference field="5" count="1" selected="0">
            <x v="7"/>
          </reference>
          <reference field="7" count="1">
            <x v="2"/>
          </reference>
        </references>
      </pivotArea>
    </format>
    <format dxfId="279">
      <pivotArea dataOnly="0" labelOnly="1" fieldPosition="0">
        <references count="4">
          <reference field="3" count="1" selected="0">
            <x v="33"/>
          </reference>
          <reference field="4" count="1" selected="0">
            <x v="8"/>
          </reference>
          <reference field="5" count="1" selected="0">
            <x v="5"/>
          </reference>
          <reference field="7" count="1">
            <x v="2"/>
          </reference>
        </references>
      </pivotArea>
    </format>
    <format dxfId="278">
      <pivotArea dataOnly="0" labelOnly="1" fieldPosition="0">
        <references count="4">
          <reference field="3" count="1" selected="0">
            <x v="34"/>
          </reference>
          <reference field="4" count="1" selected="0">
            <x v="9"/>
          </reference>
          <reference field="5" count="1" selected="0">
            <x v="6"/>
          </reference>
          <reference field="7" count="1">
            <x v="2"/>
          </reference>
        </references>
      </pivotArea>
    </format>
    <format dxfId="277">
      <pivotArea dataOnly="0" labelOnly="1" fieldPosition="0">
        <references count="4">
          <reference field="3" count="1" selected="0">
            <x v="36"/>
          </reference>
          <reference field="4" count="1" selected="0">
            <x v="10"/>
          </reference>
          <reference field="5" count="1" selected="0">
            <x v="8"/>
          </reference>
          <reference field="7" count="1">
            <x v="2"/>
          </reference>
        </references>
      </pivotArea>
    </format>
    <format dxfId="276">
      <pivotArea dataOnly="0" labelOnly="1" fieldPosition="0">
        <references count="4">
          <reference field="3" count="1" selected="0">
            <x v="39"/>
          </reference>
          <reference field="4" count="1" selected="0">
            <x v="11"/>
          </reference>
          <reference field="5" count="1" selected="0">
            <x v="1"/>
          </reference>
          <reference field="7" count="1">
            <x v="2"/>
          </reference>
        </references>
      </pivotArea>
    </format>
    <format dxfId="275">
      <pivotArea dataOnly="0" labelOnly="1" fieldPosition="0">
        <references count="4">
          <reference field="3" count="1" selected="0">
            <x v="40"/>
          </reference>
          <reference field="4" count="1" selected="0">
            <x v="12"/>
          </reference>
          <reference field="5" count="1" selected="0">
            <x v="0"/>
          </reference>
          <reference field="7" count="1">
            <x v="2"/>
          </reference>
        </references>
      </pivotArea>
    </format>
    <format dxfId="274">
      <pivotArea dataOnly="0" labelOnly="1" fieldPosition="0">
        <references count="4">
          <reference field="3" count="1" selected="0">
            <x v="42"/>
          </reference>
          <reference field="4" count="1" selected="0">
            <x v="13"/>
          </reference>
          <reference field="5" count="1" selected="0">
            <x v="2"/>
          </reference>
          <reference field="7" count="1">
            <x v="2"/>
          </reference>
        </references>
      </pivotArea>
    </format>
    <format dxfId="273">
      <pivotArea dataOnly="0" labelOnly="1" fieldPosition="0">
        <references count="4">
          <reference field="3" count="1" selected="0">
            <x v="43"/>
          </reference>
          <reference field="4" count="1" selected="0">
            <x v="14"/>
          </reference>
          <reference field="5" count="1" selected="0">
            <x v="2"/>
          </reference>
          <reference field="7" count="1">
            <x v="2"/>
          </reference>
        </references>
      </pivotArea>
    </format>
    <format dxfId="272">
      <pivotArea dataOnly="0" labelOnly="1" fieldPosition="0">
        <references count="4">
          <reference field="3" count="1" selected="0">
            <x v="43"/>
          </reference>
          <reference field="4" count="1" selected="0">
            <x v="14"/>
          </reference>
          <reference field="5" count="1" selected="0">
            <x v="3"/>
          </reference>
          <reference field="7" count="1">
            <x v="2"/>
          </reference>
        </references>
      </pivotArea>
    </format>
    <format dxfId="271">
      <pivotArea dataOnly="0" labelOnly="1" fieldPosition="0">
        <references count="4">
          <reference field="3" count="1" selected="0">
            <x v="22"/>
          </reference>
          <reference field="4" count="1" selected="0">
            <x v="15"/>
          </reference>
          <reference field="5" count="1" selected="0">
            <x v="29"/>
          </reference>
          <reference field="7" count="1">
            <x v="2"/>
          </reference>
        </references>
      </pivotArea>
    </format>
    <format dxfId="270">
      <pivotArea dataOnly="0" labelOnly="1" fieldPosition="0">
        <references count="4">
          <reference field="3" count="1" selected="0">
            <x v="24"/>
          </reference>
          <reference field="4" count="1" selected="0">
            <x v="16"/>
          </reference>
          <reference field="5" count="1" selected="0">
            <x v="31"/>
          </reference>
          <reference field="7" count="1">
            <x v="2"/>
          </reference>
        </references>
      </pivotArea>
    </format>
    <format dxfId="269">
      <pivotArea dataOnly="0" labelOnly="1" fieldPosition="0">
        <references count="4">
          <reference field="3" count="1" selected="0">
            <x v="44"/>
          </reference>
          <reference field="4" count="1" selected="0">
            <x v="17"/>
          </reference>
          <reference field="5" count="1" selected="0">
            <x v="27"/>
          </reference>
          <reference field="7" count="1">
            <x v="2"/>
          </reference>
        </references>
      </pivotArea>
    </format>
    <format dxfId="268">
      <pivotArea dataOnly="0" labelOnly="1" fieldPosition="0">
        <references count="4">
          <reference field="3" count="1" selected="0">
            <x v="23"/>
          </reference>
          <reference field="4" count="1" selected="0">
            <x v="18"/>
          </reference>
          <reference field="5" count="1" selected="0">
            <x v="30"/>
          </reference>
          <reference field="7" count="1">
            <x v="2"/>
          </reference>
        </references>
      </pivotArea>
    </format>
    <format dxfId="267">
      <pivotArea dataOnly="0" labelOnly="1" fieldPosition="0">
        <references count="4">
          <reference field="3" count="1" selected="0">
            <x v="0"/>
          </reference>
          <reference field="4" count="1" selected="0">
            <x v="19"/>
          </reference>
          <reference field="5" count="1" selected="0">
            <x v="61"/>
          </reference>
          <reference field="7" count="1">
            <x v="2"/>
          </reference>
        </references>
      </pivotArea>
    </format>
    <format dxfId="266">
      <pivotArea dataOnly="0" labelOnly="1" fieldPosition="0">
        <references count="4">
          <reference field="3" count="1" selected="0">
            <x v="20"/>
          </reference>
          <reference field="4" count="1" selected="0">
            <x v="20"/>
          </reference>
          <reference field="5" count="1" selected="0">
            <x v="38"/>
          </reference>
          <reference field="7" count="1">
            <x v="0"/>
          </reference>
        </references>
      </pivotArea>
    </format>
    <format dxfId="265">
      <pivotArea dataOnly="0" labelOnly="1" fieldPosition="0">
        <references count="4">
          <reference field="3" count="1" selected="0">
            <x v="20"/>
          </reference>
          <reference field="4" count="1" selected="0">
            <x v="20"/>
          </reference>
          <reference field="5" count="1" selected="0">
            <x v="62"/>
          </reference>
          <reference field="7" count="1">
            <x v="0"/>
          </reference>
        </references>
      </pivotArea>
    </format>
    <format dxfId="264">
      <pivotArea dataOnly="0" labelOnly="1" fieldPosition="0">
        <references count="4">
          <reference field="3" count="1" selected="0">
            <x v="10"/>
          </reference>
          <reference field="4" count="1" selected="0">
            <x v="21"/>
          </reference>
          <reference field="5" count="1" selected="0">
            <x v="63"/>
          </reference>
          <reference field="7" count="1">
            <x v="2"/>
          </reference>
        </references>
      </pivotArea>
    </format>
    <format dxfId="263">
      <pivotArea dataOnly="0" labelOnly="1" fieldPosition="0">
        <references count="4">
          <reference field="3" count="1" selected="0">
            <x v="10"/>
          </reference>
          <reference field="4" count="1" selected="0">
            <x v="22"/>
          </reference>
          <reference field="5" count="1" selected="0">
            <x v="57"/>
          </reference>
          <reference field="7" count="1">
            <x v="2"/>
          </reference>
        </references>
      </pivotArea>
    </format>
    <format dxfId="262">
      <pivotArea dataOnly="0" labelOnly="1" fieldPosition="0">
        <references count="4">
          <reference field="3" count="1" selected="0">
            <x v="3"/>
          </reference>
          <reference field="4" count="1" selected="0">
            <x v="23"/>
          </reference>
          <reference field="5" count="1" selected="0">
            <x v="28"/>
          </reference>
          <reference field="7" count="1">
            <x v="2"/>
          </reference>
        </references>
      </pivotArea>
    </format>
    <format dxfId="261">
      <pivotArea dataOnly="0" labelOnly="1" fieldPosition="0">
        <references count="4">
          <reference field="3" count="1" selected="0">
            <x v="12"/>
          </reference>
          <reference field="4" count="1" selected="0">
            <x v="24"/>
          </reference>
          <reference field="5" count="1" selected="0">
            <x v="36"/>
          </reference>
          <reference field="7" count="1">
            <x v="1"/>
          </reference>
        </references>
      </pivotArea>
    </format>
    <format dxfId="260">
      <pivotArea dataOnly="0" labelOnly="1" fieldPosition="0">
        <references count="4">
          <reference field="3" count="1" selected="0">
            <x v="10"/>
          </reference>
          <reference field="4" count="1" selected="0">
            <x v="25"/>
          </reference>
          <reference field="5" count="1" selected="0">
            <x v="51"/>
          </reference>
          <reference field="7" count="1">
            <x v="1"/>
          </reference>
        </references>
      </pivotArea>
    </format>
    <format dxfId="259">
      <pivotArea dataOnly="0" labelOnly="1" fieldPosition="0">
        <references count="4">
          <reference field="3" count="1" selected="0">
            <x v="0"/>
          </reference>
          <reference field="4" count="1" selected="0">
            <x v="26"/>
          </reference>
          <reference field="5" count="1" selected="0">
            <x v="56"/>
          </reference>
          <reference field="7" count="1">
            <x v="1"/>
          </reference>
        </references>
      </pivotArea>
    </format>
    <format dxfId="258">
      <pivotArea dataOnly="0" labelOnly="1" fieldPosition="0">
        <references count="4">
          <reference field="3" count="1" selected="0">
            <x v="11"/>
          </reference>
          <reference field="4" count="1" selected="0">
            <x v="27"/>
          </reference>
          <reference field="5" count="1" selected="0">
            <x v="64"/>
          </reference>
          <reference field="7" count="1">
            <x v="1"/>
          </reference>
        </references>
      </pivotArea>
    </format>
    <format dxfId="257">
      <pivotArea dataOnly="0" labelOnly="1" fieldPosition="0">
        <references count="4">
          <reference field="3" count="1" selected="0">
            <x v="13"/>
          </reference>
          <reference field="4" count="1" selected="0">
            <x v="27"/>
          </reference>
          <reference field="5" count="1" selected="0">
            <x v="64"/>
          </reference>
          <reference field="7" count="1">
            <x v="1"/>
          </reference>
        </references>
      </pivotArea>
    </format>
    <format dxfId="256">
      <pivotArea dataOnly="0" labelOnly="1" fieldPosition="0">
        <references count="4">
          <reference field="3" count="1" selected="0">
            <x v="21"/>
          </reference>
          <reference field="4" count="1" selected="0">
            <x v="28"/>
          </reference>
          <reference field="5" count="1" selected="0">
            <x v="16"/>
          </reference>
          <reference field="7" count="1">
            <x v="2"/>
          </reference>
        </references>
      </pivotArea>
    </format>
    <format dxfId="255">
      <pivotArea dataOnly="0" labelOnly="1" fieldPosition="0">
        <references count="4">
          <reference field="3" count="1" selected="0">
            <x v="25"/>
          </reference>
          <reference field="4" count="1" selected="0">
            <x v="29"/>
          </reference>
          <reference field="5" count="1" selected="0">
            <x v="13"/>
          </reference>
          <reference field="7" count="1">
            <x v="2"/>
          </reference>
        </references>
      </pivotArea>
    </format>
    <format dxfId="254">
      <pivotArea dataOnly="0" labelOnly="1" fieldPosition="0">
        <references count="4">
          <reference field="3" count="1" selected="0">
            <x v="27"/>
          </reference>
          <reference field="4" count="1" selected="0">
            <x v="29"/>
          </reference>
          <reference field="5" count="1" selected="0">
            <x v="13"/>
          </reference>
          <reference field="7" count="1">
            <x v="2"/>
          </reference>
        </references>
      </pivotArea>
    </format>
    <format dxfId="253">
      <pivotArea dataOnly="0" labelOnly="1" fieldPosition="0">
        <references count="4">
          <reference field="3" count="1" selected="0">
            <x v="30"/>
          </reference>
          <reference field="4" count="1" selected="0">
            <x v="30"/>
          </reference>
          <reference field="5" count="1" selected="0">
            <x v="14"/>
          </reference>
          <reference field="7" count="1">
            <x v="2"/>
          </reference>
        </references>
      </pivotArea>
    </format>
    <format dxfId="252">
      <pivotArea dataOnly="0" labelOnly="1" fieldPosition="0">
        <references count="4">
          <reference field="3" count="1" selected="0">
            <x v="35"/>
          </reference>
          <reference field="4" count="1" selected="0">
            <x v="31"/>
          </reference>
          <reference field="5" count="1" selected="0">
            <x v="15"/>
          </reference>
          <reference field="7" count="1">
            <x v="2"/>
          </reference>
        </references>
      </pivotArea>
    </format>
    <format dxfId="251">
      <pivotArea dataOnly="0" labelOnly="1" fieldPosition="0">
        <references count="4">
          <reference field="3" count="1" selected="0">
            <x v="38"/>
          </reference>
          <reference field="4" count="1" selected="0">
            <x v="32"/>
          </reference>
          <reference field="5" count="1" selected="0">
            <x v="10"/>
          </reference>
          <reference field="7" count="1">
            <x v="2"/>
          </reference>
        </references>
      </pivotArea>
    </format>
    <format dxfId="250">
      <pivotArea dataOnly="0" labelOnly="1" fieldPosition="0">
        <references count="4">
          <reference field="3" count="1" selected="0">
            <x v="41"/>
          </reference>
          <reference field="4" count="1" selected="0">
            <x v="33"/>
          </reference>
          <reference field="5" count="1" selected="0">
            <x v="11"/>
          </reference>
          <reference field="7" count="1">
            <x v="2"/>
          </reference>
        </references>
      </pivotArea>
    </format>
    <format dxfId="249">
      <pivotArea dataOnly="0" labelOnly="1" fieldPosition="0">
        <references count="4">
          <reference field="3" count="1" selected="0">
            <x v="25"/>
          </reference>
          <reference field="4" count="1" selected="0">
            <x v="34"/>
          </reference>
          <reference field="5" count="1" selected="0">
            <x v="13"/>
          </reference>
          <reference field="7" count="1">
            <x v="2"/>
          </reference>
        </references>
      </pivotArea>
    </format>
    <format dxfId="248">
      <pivotArea dataOnly="0" labelOnly="1" fieldPosition="0">
        <references count="4">
          <reference field="3" count="1" selected="0">
            <x v="29"/>
          </reference>
          <reference field="4" count="1" selected="0">
            <x v="34"/>
          </reference>
          <reference field="5" count="1" selected="0">
            <x v="14"/>
          </reference>
          <reference field="7" count="1">
            <x v="2"/>
          </reference>
        </references>
      </pivotArea>
    </format>
    <format dxfId="247">
      <pivotArea dataOnly="0" labelOnly="1" fieldPosition="0">
        <references count="4">
          <reference field="3" count="1" selected="0">
            <x v="30"/>
          </reference>
          <reference field="4" count="1" selected="0">
            <x v="34"/>
          </reference>
          <reference field="5" count="1" selected="0">
            <x v="14"/>
          </reference>
          <reference field="7" count="1">
            <x v="2"/>
          </reference>
        </references>
      </pivotArea>
    </format>
    <format dxfId="246">
      <pivotArea dataOnly="0" labelOnly="1" fieldPosition="0">
        <references count="4">
          <reference field="3" count="1" selected="0">
            <x v="35"/>
          </reference>
          <reference field="4" count="1" selected="0">
            <x v="34"/>
          </reference>
          <reference field="5" count="1" selected="0">
            <x v="15"/>
          </reference>
          <reference field="7" count="1">
            <x v="2"/>
          </reference>
        </references>
      </pivotArea>
    </format>
    <format dxfId="245">
      <pivotArea dataOnly="0" labelOnly="1" fieldPosition="0">
        <references count="4">
          <reference field="3" count="1" selected="0">
            <x v="37"/>
          </reference>
          <reference field="4" count="1" selected="0">
            <x v="34"/>
          </reference>
          <reference field="5" count="1" selected="0">
            <x v="10"/>
          </reference>
          <reference field="7" count="1">
            <x v="2"/>
          </reference>
        </references>
      </pivotArea>
    </format>
    <format dxfId="244">
      <pivotArea dataOnly="0" labelOnly="1" fieldPosition="0">
        <references count="4">
          <reference field="3" count="1" selected="0">
            <x v="41"/>
          </reference>
          <reference field="4" count="1" selected="0">
            <x v="34"/>
          </reference>
          <reference field="5" count="1" selected="0">
            <x v="11"/>
          </reference>
          <reference field="7" count="1">
            <x v="2"/>
          </reference>
        </references>
      </pivotArea>
    </format>
    <format dxfId="243">
      <pivotArea dataOnly="0" labelOnly="1" fieldPosition="0">
        <references count="4">
          <reference field="3" count="1" selected="0">
            <x v="41"/>
          </reference>
          <reference field="4" count="1" selected="0">
            <x v="34"/>
          </reference>
          <reference field="5" count="1" selected="0">
            <x v="12"/>
          </reference>
          <reference field="7" count="1">
            <x v="2"/>
          </reference>
        </references>
      </pivotArea>
    </format>
    <format dxfId="242">
      <pivotArea dataOnly="0" labelOnly="1" fieldPosition="0">
        <references count="4">
          <reference field="3" count="1" selected="0">
            <x v="10"/>
          </reference>
          <reference field="4" count="1" selected="0">
            <x v="35"/>
          </reference>
          <reference field="5" count="1" selected="0">
            <x v="53"/>
          </reference>
          <reference field="7" count="1">
            <x v="0"/>
          </reference>
        </references>
      </pivotArea>
    </format>
    <format dxfId="241">
      <pivotArea dataOnly="0" labelOnly="1" fieldPosition="0">
        <references count="4">
          <reference field="3" count="1" selected="0">
            <x v="10"/>
          </reference>
          <reference field="4" count="1" selected="0">
            <x v="36"/>
          </reference>
          <reference field="5" count="1" selected="0">
            <x v="34"/>
          </reference>
          <reference field="7" count="1">
            <x v="0"/>
          </reference>
        </references>
      </pivotArea>
    </format>
    <format dxfId="240">
      <pivotArea dataOnly="0" labelOnly="1" fieldPosition="0">
        <references count="4">
          <reference field="3" count="1" selected="0">
            <x v="10"/>
          </reference>
          <reference field="4" count="1" selected="0">
            <x v="37"/>
          </reference>
          <reference field="5" count="1" selected="0">
            <x v="35"/>
          </reference>
          <reference field="7" count="1">
            <x v="0"/>
          </reference>
        </references>
      </pivotArea>
    </format>
    <format dxfId="239">
      <pivotArea dataOnly="0" labelOnly="1" fieldPosition="0">
        <references count="4">
          <reference field="3" count="1" selected="0">
            <x v="10"/>
          </reference>
          <reference field="4" count="1" selected="0">
            <x v="37"/>
          </reference>
          <reference field="5" count="1" selected="0">
            <x v="52"/>
          </reference>
          <reference field="7" count="1">
            <x v="0"/>
          </reference>
        </references>
      </pivotArea>
    </format>
    <format dxfId="238">
      <pivotArea dataOnly="0" labelOnly="1" fieldPosition="0">
        <references count="4">
          <reference field="3" count="1" selected="0">
            <x v="45"/>
          </reference>
          <reference field="4" count="1" selected="0">
            <x v="38"/>
          </reference>
          <reference field="5" count="1" selected="0">
            <x v="54"/>
          </reference>
          <reference field="7" count="1">
            <x v="0"/>
          </reference>
        </references>
      </pivotArea>
    </format>
    <format dxfId="237">
      <pivotArea dataOnly="0" labelOnly="1" fieldPosition="0">
        <references count="4">
          <reference field="3" count="1" selected="0">
            <x v="47"/>
          </reference>
          <reference field="4" count="1" selected="0">
            <x v="39"/>
          </reference>
          <reference field="5" count="1" selected="0">
            <x v="55"/>
          </reference>
          <reference field="7" count="1">
            <x v="0"/>
          </reference>
        </references>
      </pivotArea>
    </format>
    <format dxfId="236">
      <pivotArea dataOnly="0" labelOnly="1" fieldPosition="0">
        <references count="4">
          <reference field="3" count="1" selected="0">
            <x v="10"/>
          </reference>
          <reference field="4" count="1" selected="0">
            <x v="40"/>
          </reference>
          <reference field="5" count="1" selected="0">
            <x v="49"/>
          </reference>
          <reference field="7" count="1">
            <x v="0"/>
          </reference>
        </references>
      </pivotArea>
    </format>
    <format dxfId="235">
      <pivotArea dataOnly="0" labelOnly="1" fieldPosition="0">
        <references count="4">
          <reference field="3" count="1" selected="0">
            <x v="10"/>
          </reference>
          <reference field="4" count="1" selected="0">
            <x v="40"/>
          </reference>
          <reference field="5" count="1" selected="0">
            <x v="58"/>
          </reference>
          <reference field="7" count="1">
            <x v="0"/>
          </reference>
        </references>
      </pivotArea>
    </format>
    <format dxfId="234">
      <pivotArea dataOnly="0" labelOnly="1" fieldPosition="0">
        <references count="4">
          <reference field="3" count="1" selected="0">
            <x v="10"/>
          </reference>
          <reference field="4" count="1" selected="0">
            <x v="41"/>
          </reference>
          <reference field="5" count="1" selected="0">
            <x v="50"/>
          </reference>
          <reference field="7" count="1">
            <x v="0"/>
          </reference>
        </references>
      </pivotArea>
    </format>
    <format dxfId="233">
      <pivotArea dataOnly="0" labelOnly="1" fieldPosition="0">
        <references count="4">
          <reference field="3" count="1" selected="0">
            <x v="16"/>
          </reference>
          <reference field="4" count="1" selected="0">
            <x v="42"/>
          </reference>
          <reference field="5" count="1" selected="0">
            <x v="17"/>
          </reference>
          <reference field="7" count="1">
            <x v="2"/>
          </reference>
        </references>
      </pivotArea>
    </format>
    <format dxfId="232">
      <pivotArea dataOnly="0" labelOnly="1" fieldPosition="0">
        <references count="4">
          <reference field="3" count="1" selected="0">
            <x v="5"/>
          </reference>
          <reference field="4" count="1" selected="0">
            <x v="43"/>
          </reference>
          <reference field="5" count="1" selected="0">
            <x v="23"/>
          </reference>
          <reference field="7" count="1">
            <x v="2"/>
          </reference>
        </references>
      </pivotArea>
    </format>
    <format dxfId="231">
      <pivotArea dataOnly="0" labelOnly="1" fieldPosition="0">
        <references count="4">
          <reference field="3" count="1" selected="0">
            <x v="7"/>
          </reference>
          <reference field="4" count="1" selected="0">
            <x v="44"/>
          </reference>
          <reference field="5" count="1" selected="0">
            <x v="19"/>
          </reference>
          <reference field="7" count="1">
            <x v="2"/>
          </reference>
        </references>
      </pivotArea>
    </format>
    <format dxfId="230">
      <pivotArea dataOnly="0" labelOnly="1" fieldPosition="0">
        <references count="4">
          <reference field="3" count="1" selected="0">
            <x v="15"/>
          </reference>
          <reference field="4" count="1" selected="0">
            <x v="45"/>
          </reference>
          <reference field="5" count="1" selected="0">
            <x v="18"/>
          </reference>
          <reference field="7" count="1">
            <x v="2"/>
          </reference>
        </references>
      </pivotArea>
    </format>
    <format dxfId="229">
      <pivotArea dataOnly="0" labelOnly="1" fieldPosition="0">
        <references count="4">
          <reference field="3" count="1" selected="0">
            <x v="17"/>
          </reference>
          <reference field="4" count="1" selected="0">
            <x v="45"/>
          </reference>
          <reference field="5" count="1" selected="0">
            <x v="18"/>
          </reference>
          <reference field="7" count="1">
            <x v="2"/>
          </reference>
        </references>
      </pivotArea>
    </format>
    <format dxfId="228">
      <pivotArea dataOnly="0" labelOnly="1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20"/>
          </reference>
          <reference field="7" count="1">
            <x v="2"/>
          </reference>
        </references>
      </pivotArea>
    </format>
    <format dxfId="227">
      <pivotArea dataOnly="0" labelOnly="1" fieldPosition="0">
        <references count="4">
          <reference field="3" count="1" selected="0">
            <x v="4"/>
          </reference>
          <reference field="4" count="1" selected="0">
            <x v="47"/>
          </reference>
          <reference field="5" count="1" selected="0">
            <x v="23"/>
          </reference>
          <reference field="7" count="1">
            <x v="2"/>
          </reference>
        </references>
      </pivotArea>
    </format>
    <format dxfId="226">
      <pivotArea dataOnly="0" labelOnly="1" fieldPosition="0">
        <references count="4">
          <reference field="3" count="1" selected="0">
            <x v="4"/>
          </reference>
          <reference field="4" count="1" selected="0">
            <x v="47"/>
          </reference>
          <reference field="5" count="1" selected="0">
            <x v="24"/>
          </reference>
          <reference field="7" count="1">
            <x v="2"/>
          </reference>
        </references>
      </pivotArea>
    </format>
    <format dxfId="225">
      <pivotArea dataOnly="0" labelOnly="1" fieldPosition="0">
        <references count="4">
          <reference field="3" count="1" selected="0">
            <x v="6"/>
          </reference>
          <reference field="4" count="1" selected="0">
            <x v="48"/>
          </reference>
          <reference field="5" count="1" selected="0">
            <x v="19"/>
          </reference>
          <reference field="7" count="1">
            <x v="2"/>
          </reference>
        </references>
      </pivotArea>
    </format>
    <format dxfId="224">
      <pivotArea dataOnly="0" labelOnly="1" fieldPosition="0">
        <references count="4">
          <reference field="3" count="1" selected="0">
            <x v="6"/>
          </reference>
          <reference field="4" count="1" selected="0">
            <x v="48"/>
          </reference>
          <reference field="5" count="1" selected="0">
            <x v="25"/>
          </reference>
          <reference field="7" count="1">
            <x v="2"/>
          </reference>
        </references>
      </pivotArea>
    </format>
    <format dxfId="223">
      <pivotArea dataOnly="0" labelOnly="1" fieldPosition="0">
        <references count="4">
          <reference field="3" count="1" selected="0">
            <x v="8"/>
          </reference>
          <reference field="4" count="1" selected="0">
            <x v="49"/>
          </reference>
          <reference field="5" count="1" selected="0">
            <x v="26"/>
          </reference>
          <reference field="7" count="1">
            <x v="2"/>
          </reference>
        </references>
      </pivotArea>
    </format>
    <format dxfId="222">
      <pivotArea dataOnly="0" labelOnly="1" fieldPosition="0">
        <references count="4">
          <reference field="3" count="1" selected="0">
            <x v="14"/>
          </reference>
          <reference field="4" count="1" selected="0">
            <x v="50"/>
          </reference>
          <reference field="5" count="1" selected="0">
            <x v="21"/>
          </reference>
          <reference field="7" count="1">
            <x v="2"/>
          </reference>
        </references>
      </pivotArea>
    </format>
    <format dxfId="221">
      <pivotArea dataOnly="0" labelOnly="1" fieldPosition="0">
        <references count="4">
          <reference field="3" count="1" selected="0">
            <x v="14"/>
          </reference>
          <reference field="4" count="1" selected="0">
            <x v="50"/>
          </reference>
          <reference field="5" count="1" selected="0">
            <x v="22"/>
          </reference>
          <reference field="7" count="1">
            <x v="2"/>
          </reference>
        </references>
      </pivotArea>
    </format>
    <format dxfId="220">
      <pivotArea dataOnly="0" labelOnly="1" fieldPosition="0">
        <references count="4">
          <reference field="3" count="1" selected="0">
            <x v="18"/>
          </reference>
          <reference field="4" count="1" selected="0">
            <x v="51"/>
          </reference>
          <reference field="5" count="1" selected="0">
            <x v="39"/>
          </reference>
          <reference field="7" count="1">
            <x v="0"/>
          </reference>
        </references>
      </pivotArea>
    </format>
    <format dxfId="219">
      <pivotArea dataOnly="0" labelOnly="1" fieldPosition="0">
        <references count="4">
          <reference field="3" count="1" selected="0">
            <x v="18"/>
          </reference>
          <reference field="4" count="1" selected="0">
            <x v="51"/>
          </reference>
          <reference field="5" count="1" selected="0">
            <x v="47"/>
          </reference>
          <reference field="7" count="1">
            <x v="0"/>
          </reference>
        </references>
      </pivotArea>
    </format>
    <format dxfId="218">
      <pivotArea dataOnly="0" labelOnly="1" fieldPosition="0">
        <references count="4">
          <reference field="3" count="1" selected="0">
            <x v="47"/>
          </reference>
          <reference field="4" count="1" selected="0">
            <x v="52"/>
          </reference>
          <reference field="5" count="1" selected="0">
            <x v="40"/>
          </reference>
          <reference field="7" count="1">
            <x v="0"/>
          </reference>
        </references>
      </pivotArea>
    </format>
    <format dxfId="217">
      <pivotArea dataOnly="0" labelOnly="1" fieldPosition="0">
        <references count="4">
          <reference field="3" count="1" selected="0">
            <x v="47"/>
          </reference>
          <reference field="4" count="1" selected="0">
            <x v="53"/>
          </reference>
          <reference field="5" count="1" selected="0">
            <x v="41"/>
          </reference>
          <reference field="7" count="1">
            <x v="0"/>
          </reference>
        </references>
      </pivotArea>
    </format>
    <format dxfId="216">
      <pivotArea dataOnly="0" labelOnly="1" fieldPosition="0">
        <references count="4">
          <reference field="3" count="1" selected="0">
            <x v="47"/>
          </reference>
          <reference field="4" count="1" selected="0">
            <x v="53"/>
          </reference>
          <reference field="5" count="1" selected="0">
            <x v="42"/>
          </reference>
          <reference field="7" count="1">
            <x v="0"/>
          </reference>
        </references>
      </pivotArea>
    </format>
    <format dxfId="215">
      <pivotArea dataOnly="0" labelOnly="1" fieldPosition="0">
        <references count="4">
          <reference field="3" count="1" selected="0">
            <x v="47"/>
          </reference>
          <reference field="4" count="1" selected="0">
            <x v="54"/>
          </reference>
          <reference field="5" count="1" selected="0">
            <x v="44"/>
          </reference>
          <reference field="7" count="1">
            <x v="0"/>
          </reference>
        </references>
      </pivotArea>
    </format>
    <format dxfId="214">
      <pivotArea dataOnly="0" labelOnly="1" fieldPosition="0">
        <references count="4">
          <reference field="3" count="1" selected="0">
            <x v="47"/>
          </reference>
          <reference field="4" count="1" selected="0">
            <x v="55"/>
          </reference>
          <reference field="5" count="1" selected="0">
            <x v="45"/>
          </reference>
          <reference field="7" count="1">
            <x v="0"/>
          </reference>
        </references>
      </pivotArea>
    </format>
    <format dxfId="213">
      <pivotArea dataOnly="0" labelOnly="1" fieldPosition="0">
        <references count="4">
          <reference field="3" count="1" selected="0">
            <x v="47"/>
          </reference>
          <reference field="4" count="1" selected="0">
            <x v="56"/>
          </reference>
          <reference field="5" count="1" selected="0">
            <x v="43"/>
          </reference>
          <reference field="7" count="2">
            <x v="0"/>
            <x v="2"/>
          </reference>
        </references>
      </pivotArea>
    </format>
    <format dxfId="212">
      <pivotArea dataOnly="0" labelOnly="1" fieldPosition="0">
        <references count="4">
          <reference field="3" count="1" selected="0">
            <x v="20"/>
          </reference>
          <reference field="4" count="1" selected="0">
            <x v="57"/>
          </reference>
          <reference field="5" count="1" selected="0">
            <x v="46"/>
          </reference>
          <reference field="7" count="2">
            <x v="0"/>
            <x v="2"/>
          </reference>
        </references>
      </pivotArea>
    </format>
    <format dxfId="211">
      <pivotArea dataOnly="0" labelOnly="1" fieldPosition="0">
        <references count="4">
          <reference field="3" count="1" selected="0">
            <x v="20"/>
          </reference>
          <reference field="4" count="1" selected="0">
            <x v="58"/>
          </reference>
          <reference field="5" count="1" selected="0">
            <x v="47"/>
          </reference>
          <reference field="7" count="1">
            <x v="0"/>
          </reference>
        </references>
      </pivotArea>
    </format>
    <format dxfId="210">
      <pivotArea dataOnly="0" labelOnly="1" fieldPosition="0">
        <references count="4">
          <reference field="3" count="1" selected="0">
            <x v="48"/>
          </reference>
          <reference field="4" count="1" selected="0">
            <x v="59"/>
          </reference>
          <reference field="5" count="1" selected="0">
            <x v="48"/>
          </reference>
          <reference field="7" count="1">
            <x v="2"/>
          </reference>
        </references>
      </pivotArea>
    </format>
    <format dxfId="209">
      <pivotArea dataOnly="0" labelOnly="1" outline="0" axis="axisValues" fieldPosition="0"/>
    </format>
    <format dxfId="208">
      <pivotArea type="all" dataOnly="0" outline="0" fieldPosition="0"/>
    </format>
    <format dxfId="207">
      <pivotArea outline="0" collapsedLevelsAreSubtotals="1" fieldPosition="0"/>
    </format>
    <format dxfId="206">
      <pivotArea field="4" type="button" dataOnly="0" labelOnly="1" outline="0" axis="axisRow" fieldPosition="0"/>
    </format>
    <format dxfId="205">
      <pivotArea field="3" type="button" dataOnly="0" labelOnly="1" outline="0" axis="axisRow" fieldPosition="1"/>
    </format>
    <format dxfId="204">
      <pivotArea field="5" type="button" dataOnly="0" labelOnly="1" outline="0" axis="axisRow" fieldPosition="2"/>
    </format>
    <format dxfId="203">
      <pivotArea field="7" type="button" dataOnly="0" labelOnly="1" outline="0" axis="axisRow" fieldPosition="3"/>
    </format>
    <format dxfId="202">
      <pivotArea dataOnly="0" labelOnly="1" outline="0" axis="axisValues" fieldPosition="0"/>
    </format>
    <format dxfId="201">
      <pivotArea dataOnly="0" labelOnly="1" fieldPosition="0">
        <references count="1">
          <reference field="4" count="50">
            <x v="0"/>
            <x v="1"/>
            <x v="2"/>
            <x v="3"/>
            <x v="4"/>
            <x v="5"/>
            <x v="6"/>
            <x v="7"/>
            <x v="8"/>
            <x v="9"/>
            <x v="10"/>
            <x v="11"/>
            <x v="12"/>
            <x v="13"/>
            <x v="14"/>
            <x v="15"/>
            <x v="16"/>
            <x v="17"/>
            <x v="18"/>
            <x v="19"/>
            <x v="20"/>
            <x v="21"/>
            <x v="22"/>
            <x v="23"/>
            <x v="24"/>
            <x v="25"/>
            <x v="26"/>
            <x v="27"/>
            <x v="28"/>
            <x v="29"/>
            <x v="30"/>
            <x v="31"/>
            <x v="32"/>
            <x v="33"/>
            <x v="34"/>
            <x v="35"/>
            <x v="36"/>
            <x v="37"/>
            <x v="38"/>
            <x v="39"/>
            <x v="40"/>
            <x v="41"/>
            <x v="42"/>
            <x v="43"/>
            <x v="44"/>
            <x v="45"/>
            <x v="46"/>
            <x v="47"/>
            <x v="48"/>
            <x v="49"/>
          </reference>
        </references>
      </pivotArea>
    </format>
    <format dxfId="200">
      <pivotArea dataOnly="0" labelOnly="1" fieldPosition="0">
        <references count="1">
          <reference field="4" count="10">
            <x v="50"/>
            <x v="51"/>
            <x v="52"/>
            <x v="53"/>
            <x v="54"/>
            <x v="55"/>
            <x v="56"/>
            <x v="57"/>
            <x v="58"/>
            <x v="59"/>
          </reference>
        </references>
      </pivotArea>
    </format>
    <format dxfId="199">
      <pivotArea dataOnly="0" labelOnly="1" grandRow="1" outline="0" fieldPosition="0"/>
    </format>
    <format dxfId="198">
      <pivotArea dataOnly="0" labelOnly="1" fieldPosition="0">
        <references count="2">
          <reference field="3" count="1">
            <x v="46"/>
          </reference>
          <reference field="4" count="1" selected="0">
            <x v="0"/>
          </reference>
        </references>
      </pivotArea>
    </format>
    <format dxfId="197">
      <pivotArea dataOnly="0" labelOnly="1" fieldPosition="0">
        <references count="2">
          <reference field="3" count="1">
            <x v="2"/>
          </reference>
          <reference field="4" count="1" selected="0">
            <x v="1"/>
          </reference>
        </references>
      </pivotArea>
    </format>
    <format dxfId="196">
      <pivotArea dataOnly="0" labelOnly="1" fieldPosition="0">
        <references count="2">
          <reference field="3" count="1">
            <x v="1"/>
          </reference>
          <reference field="4" count="1" selected="0">
            <x v="2"/>
          </reference>
        </references>
      </pivotArea>
    </format>
    <format dxfId="195">
      <pivotArea dataOnly="0" labelOnly="1" fieldPosition="0">
        <references count="2">
          <reference field="3" count="1">
            <x v="0"/>
          </reference>
          <reference field="4" count="1" selected="0">
            <x v="3"/>
          </reference>
        </references>
      </pivotArea>
    </format>
    <format dxfId="194">
      <pivotArea dataOnly="0" labelOnly="1" fieldPosition="0">
        <references count="2">
          <reference field="3" count="1">
            <x v="19"/>
          </reference>
          <reference field="4" count="1" selected="0">
            <x v="4"/>
          </reference>
        </references>
      </pivotArea>
    </format>
    <format dxfId="193">
      <pivotArea dataOnly="0" labelOnly="1" fieldPosition="0">
        <references count="2">
          <reference field="3" count="1">
            <x v="28"/>
          </reference>
          <reference field="4" count="1" selected="0">
            <x v="5"/>
          </reference>
        </references>
      </pivotArea>
    </format>
    <format dxfId="192">
      <pivotArea dataOnly="0" labelOnly="1" fieldPosition="0">
        <references count="2">
          <reference field="3" count="1">
            <x v="26"/>
          </reference>
          <reference field="4" count="1" selected="0">
            <x v="6"/>
          </reference>
        </references>
      </pivotArea>
    </format>
    <format dxfId="191">
      <pivotArea dataOnly="0" labelOnly="1" fieldPosition="0">
        <references count="2">
          <reference field="3" count="2">
            <x v="31"/>
            <x v="32"/>
          </reference>
          <reference field="4" count="1" selected="0">
            <x v="7"/>
          </reference>
        </references>
      </pivotArea>
    </format>
    <format dxfId="190">
      <pivotArea dataOnly="0" labelOnly="1" fieldPosition="0">
        <references count="2">
          <reference field="3" count="1">
            <x v="33"/>
          </reference>
          <reference field="4" count="1" selected="0">
            <x v="8"/>
          </reference>
        </references>
      </pivotArea>
    </format>
    <format dxfId="189">
      <pivotArea dataOnly="0" labelOnly="1" fieldPosition="0">
        <references count="2">
          <reference field="3" count="1">
            <x v="34"/>
          </reference>
          <reference field="4" count="1" selected="0">
            <x v="9"/>
          </reference>
        </references>
      </pivotArea>
    </format>
    <format dxfId="188">
      <pivotArea dataOnly="0" labelOnly="1" fieldPosition="0">
        <references count="2">
          <reference field="3" count="1">
            <x v="36"/>
          </reference>
          <reference field="4" count="1" selected="0">
            <x v="10"/>
          </reference>
        </references>
      </pivotArea>
    </format>
    <format dxfId="187">
      <pivotArea dataOnly="0" labelOnly="1" fieldPosition="0">
        <references count="2">
          <reference field="3" count="1">
            <x v="39"/>
          </reference>
          <reference field="4" count="1" selected="0">
            <x v="11"/>
          </reference>
        </references>
      </pivotArea>
    </format>
    <format dxfId="186">
      <pivotArea dataOnly="0" labelOnly="1" fieldPosition="0">
        <references count="2">
          <reference field="3" count="1">
            <x v="40"/>
          </reference>
          <reference field="4" count="1" selected="0">
            <x v="12"/>
          </reference>
        </references>
      </pivotArea>
    </format>
    <format dxfId="185">
      <pivotArea dataOnly="0" labelOnly="1" fieldPosition="0">
        <references count="2">
          <reference field="3" count="1">
            <x v="42"/>
          </reference>
          <reference field="4" count="1" selected="0">
            <x v="13"/>
          </reference>
        </references>
      </pivotArea>
    </format>
    <format dxfId="184">
      <pivotArea dataOnly="0" labelOnly="1" fieldPosition="0">
        <references count="2">
          <reference field="3" count="1">
            <x v="43"/>
          </reference>
          <reference field="4" count="1" selected="0">
            <x v="14"/>
          </reference>
        </references>
      </pivotArea>
    </format>
    <format dxfId="183">
      <pivotArea dataOnly="0" labelOnly="1" fieldPosition="0">
        <references count="2">
          <reference field="3" count="1">
            <x v="22"/>
          </reference>
          <reference field="4" count="1" selected="0">
            <x v="15"/>
          </reference>
        </references>
      </pivotArea>
    </format>
    <format dxfId="182">
      <pivotArea dataOnly="0" labelOnly="1" fieldPosition="0">
        <references count="2">
          <reference field="3" count="1">
            <x v="24"/>
          </reference>
          <reference field="4" count="1" selected="0">
            <x v="16"/>
          </reference>
        </references>
      </pivotArea>
    </format>
    <format dxfId="181">
      <pivotArea dataOnly="0" labelOnly="1" fieldPosition="0">
        <references count="2">
          <reference field="3" count="1">
            <x v="44"/>
          </reference>
          <reference field="4" count="1" selected="0">
            <x v="17"/>
          </reference>
        </references>
      </pivotArea>
    </format>
    <format dxfId="180">
      <pivotArea dataOnly="0" labelOnly="1" fieldPosition="0">
        <references count="2">
          <reference field="3" count="1">
            <x v="23"/>
          </reference>
          <reference field="4" count="1" selected="0">
            <x v="18"/>
          </reference>
        </references>
      </pivotArea>
    </format>
    <format dxfId="179">
      <pivotArea dataOnly="0" labelOnly="1" fieldPosition="0">
        <references count="2">
          <reference field="3" count="1">
            <x v="0"/>
          </reference>
          <reference field="4" count="1" selected="0">
            <x v="19"/>
          </reference>
        </references>
      </pivotArea>
    </format>
    <format dxfId="178">
      <pivotArea dataOnly="0" labelOnly="1" fieldPosition="0">
        <references count="2">
          <reference field="3" count="1">
            <x v="20"/>
          </reference>
          <reference field="4" count="1" selected="0">
            <x v="20"/>
          </reference>
        </references>
      </pivotArea>
    </format>
    <format dxfId="177">
      <pivotArea dataOnly="0" labelOnly="1" fieldPosition="0">
        <references count="2">
          <reference field="3" count="1">
            <x v="10"/>
          </reference>
          <reference field="4" count="1" selected="0">
            <x v="21"/>
          </reference>
        </references>
      </pivotArea>
    </format>
    <format dxfId="176">
      <pivotArea dataOnly="0" labelOnly="1" fieldPosition="0">
        <references count="2">
          <reference field="3" count="1">
            <x v="3"/>
          </reference>
          <reference field="4" count="1" selected="0">
            <x v="23"/>
          </reference>
        </references>
      </pivotArea>
    </format>
    <format dxfId="175">
      <pivotArea dataOnly="0" labelOnly="1" fieldPosition="0">
        <references count="2">
          <reference field="3" count="1">
            <x v="12"/>
          </reference>
          <reference field="4" count="1" selected="0">
            <x v="24"/>
          </reference>
        </references>
      </pivotArea>
    </format>
    <format dxfId="174">
      <pivotArea dataOnly="0" labelOnly="1" fieldPosition="0">
        <references count="2">
          <reference field="3" count="1">
            <x v="10"/>
          </reference>
          <reference field="4" count="1" selected="0">
            <x v="25"/>
          </reference>
        </references>
      </pivotArea>
    </format>
    <format dxfId="173">
      <pivotArea dataOnly="0" labelOnly="1" fieldPosition="0">
        <references count="2">
          <reference field="3" count="1">
            <x v="0"/>
          </reference>
          <reference field="4" count="1" selected="0">
            <x v="26"/>
          </reference>
        </references>
      </pivotArea>
    </format>
    <format dxfId="172">
      <pivotArea dataOnly="0" labelOnly="1" fieldPosition="0">
        <references count="2">
          <reference field="3" count="2">
            <x v="11"/>
            <x v="13"/>
          </reference>
          <reference field="4" count="1" selected="0">
            <x v="27"/>
          </reference>
        </references>
      </pivotArea>
    </format>
    <format dxfId="171">
      <pivotArea dataOnly="0" labelOnly="1" fieldPosition="0">
        <references count="2">
          <reference field="3" count="1">
            <x v="21"/>
          </reference>
          <reference field="4" count="1" selected="0">
            <x v="28"/>
          </reference>
        </references>
      </pivotArea>
    </format>
    <format dxfId="170">
      <pivotArea dataOnly="0" labelOnly="1" fieldPosition="0">
        <references count="2">
          <reference field="3" count="2">
            <x v="25"/>
            <x v="27"/>
          </reference>
          <reference field="4" count="1" selected="0">
            <x v="29"/>
          </reference>
        </references>
      </pivotArea>
    </format>
    <format dxfId="169">
      <pivotArea dataOnly="0" labelOnly="1" fieldPosition="0">
        <references count="2">
          <reference field="3" count="1">
            <x v="30"/>
          </reference>
          <reference field="4" count="1" selected="0">
            <x v="30"/>
          </reference>
        </references>
      </pivotArea>
    </format>
    <format dxfId="168">
      <pivotArea dataOnly="0" labelOnly="1" fieldPosition="0">
        <references count="2">
          <reference field="3" count="1">
            <x v="35"/>
          </reference>
          <reference field="4" count="1" selected="0">
            <x v="31"/>
          </reference>
        </references>
      </pivotArea>
    </format>
    <format dxfId="167">
      <pivotArea dataOnly="0" labelOnly="1" fieldPosition="0">
        <references count="2">
          <reference field="3" count="1">
            <x v="38"/>
          </reference>
          <reference field="4" count="1" selected="0">
            <x v="32"/>
          </reference>
        </references>
      </pivotArea>
    </format>
    <format dxfId="166">
      <pivotArea dataOnly="0" labelOnly="1" fieldPosition="0">
        <references count="2">
          <reference field="3" count="1">
            <x v="41"/>
          </reference>
          <reference field="4" count="1" selected="0">
            <x v="33"/>
          </reference>
        </references>
      </pivotArea>
    </format>
    <format dxfId="165">
      <pivotArea dataOnly="0" labelOnly="1" fieldPosition="0">
        <references count="2">
          <reference field="3" count="6">
            <x v="25"/>
            <x v="29"/>
            <x v="30"/>
            <x v="35"/>
            <x v="37"/>
            <x v="41"/>
          </reference>
          <reference field="4" count="1" selected="0">
            <x v="34"/>
          </reference>
        </references>
      </pivotArea>
    </format>
    <format dxfId="164">
      <pivotArea dataOnly="0" labelOnly="1" fieldPosition="0">
        <references count="2">
          <reference field="3" count="1">
            <x v="10"/>
          </reference>
          <reference field="4" count="1" selected="0">
            <x v="35"/>
          </reference>
        </references>
      </pivotArea>
    </format>
    <format dxfId="163">
      <pivotArea dataOnly="0" labelOnly="1" fieldPosition="0">
        <references count="2">
          <reference field="3" count="1">
            <x v="45"/>
          </reference>
          <reference field="4" count="1" selected="0">
            <x v="38"/>
          </reference>
        </references>
      </pivotArea>
    </format>
    <format dxfId="162">
      <pivotArea dataOnly="0" labelOnly="1" fieldPosition="0">
        <references count="2">
          <reference field="3" count="1">
            <x v="47"/>
          </reference>
          <reference field="4" count="1" selected="0">
            <x v="39"/>
          </reference>
        </references>
      </pivotArea>
    </format>
    <format dxfId="161">
      <pivotArea dataOnly="0" labelOnly="1" fieldPosition="0">
        <references count="2">
          <reference field="3" count="1">
            <x v="10"/>
          </reference>
          <reference field="4" count="1" selected="0">
            <x v="40"/>
          </reference>
        </references>
      </pivotArea>
    </format>
    <format dxfId="160">
      <pivotArea dataOnly="0" labelOnly="1" fieldPosition="0">
        <references count="2">
          <reference field="3" count="1">
            <x v="16"/>
          </reference>
          <reference field="4" count="1" selected="0">
            <x v="42"/>
          </reference>
        </references>
      </pivotArea>
    </format>
    <format dxfId="159">
      <pivotArea dataOnly="0" labelOnly="1" fieldPosition="0">
        <references count="2">
          <reference field="3" count="1">
            <x v="5"/>
          </reference>
          <reference field="4" count="1" selected="0">
            <x v="43"/>
          </reference>
        </references>
      </pivotArea>
    </format>
    <format dxfId="158">
      <pivotArea dataOnly="0" labelOnly="1" fieldPosition="0">
        <references count="2">
          <reference field="3" count="1">
            <x v="7"/>
          </reference>
          <reference field="4" count="1" selected="0">
            <x v="44"/>
          </reference>
        </references>
      </pivotArea>
    </format>
    <format dxfId="157">
      <pivotArea dataOnly="0" labelOnly="1" fieldPosition="0">
        <references count="2">
          <reference field="3" count="2">
            <x v="15"/>
            <x v="17"/>
          </reference>
          <reference field="4" count="1" selected="0">
            <x v="45"/>
          </reference>
        </references>
      </pivotArea>
    </format>
    <format dxfId="156">
      <pivotArea dataOnly="0" labelOnly="1" fieldPosition="0">
        <references count="2">
          <reference field="3" count="1">
            <x v="9"/>
          </reference>
          <reference field="4" count="1" selected="0">
            <x v="46"/>
          </reference>
        </references>
      </pivotArea>
    </format>
    <format dxfId="155">
      <pivotArea dataOnly="0" labelOnly="1" fieldPosition="0">
        <references count="2">
          <reference field="3" count="1">
            <x v="4"/>
          </reference>
          <reference field="4" count="1" selected="0">
            <x v="47"/>
          </reference>
        </references>
      </pivotArea>
    </format>
    <format dxfId="154">
      <pivotArea dataOnly="0" labelOnly="1" fieldPosition="0">
        <references count="2">
          <reference field="3" count="1">
            <x v="6"/>
          </reference>
          <reference field="4" count="1" selected="0">
            <x v="48"/>
          </reference>
        </references>
      </pivotArea>
    </format>
    <format dxfId="153">
      <pivotArea dataOnly="0" labelOnly="1" fieldPosition="0">
        <references count="2">
          <reference field="3" count="1">
            <x v="8"/>
          </reference>
          <reference field="4" count="1" selected="0">
            <x v="49"/>
          </reference>
        </references>
      </pivotArea>
    </format>
    <format dxfId="152">
      <pivotArea dataOnly="0" labelOnly="1" fieldPosition="0">
        <references count="2">
          <reference field="3" count="1">
            <x v="14"/>
          </reference>
          <reference field="4" count="1" selected="0">
            <x v="50"/>
          </reference>
        </references>
      </pivotArea>
    </format>
    <format dxfId="151">
      <pivotArea dataOnly="0" labelOnly="1" fieldPosition="0">
        <references count="2">
          <reference field="3" count="1">
            <x v="18"/>
          </reference>
          <reference field="4" count="1" selected="0">
            <x v="51"/>
          </reference>
        </references>
      </pivotArea>
    </format>
    <format dxfId="150">
      <pivotArea dataOnly="0" labelOnly="1" fieldPosition="0">
        <references count="2">
          <reference field="3" count="1">
            <x v="47"/>
          </reference>
          <reference field="4" count="1" selected="0">
            <x v="52"/>
          </reference>
        </references>
      </pivotArea>
    </format>
    <format dxfId="149">
      <pivotArea dataOnly="0" labelOnly="1" fieldPosition="0">
        <references count="2">
          <reference field="3" count="1">
            <x v="20"/>
          </reference>
          <reference field="4" count="1" selected="0">
            <x v="57"/>
          </reference>
        </references>
      </pivotArea>
    </format>
    <format dxfId="148">
      <pivotArea dataOnly="0" labelOnly="1" fieldPosition="0">
        <references count="2">
          <reference field="3" count="1">
            <x v="48"/>
          </reference>
          <reference field="4" count="1" selected="0">
            <x v="59"/>
          </reference>
        </references>
      </pivotArea>
    </format>
    <format dxfId="147">
      <pivotArea dataOnly="0" labelOnly="1" fieldPosition="0">
        <references count="3">
          <reference field="3" count="1" selected="0">
            <x v="46"/>
          </reference>
          <reference field="4" count="1" selected="0">
            <x v="0"/>
          </reference>
          <reference field="5" count="1">
            <x v="59"/>
          </reference>
        </references>
      </pivotArea>
    </format>
    <format dxfId="146">
      <pivotArea dataOnly="0" labelOnly="1" fieldPosition="0">
        <references count="3">
          <reference field="3" count="1" selected="0">
            <x v="2"/>
          </reference>
          <reference field="4" count="1" selected="0">
            <x v="1"/>
          </reference>
          <reference field="5" count="1">
            <x v="32"/>
          </reference>
        </references>
      </pivotArea>
    </format>
    <format dxfId="145">
      <pivotArea dataOnly="0" labelOnly="1" fieldPosition="0">
        <references count="3">
          <reference field="3" count="1" selected="0">
            <x v="1"/>
          </reference>
          <reference field="4" count="1" selected="0">
            <x v="2"/>
          </reference>
          <reference field="5" count="1">
            <x v="37"/>
          </reference>
        </references>
      </pivotArea>
    </format>
    <format dxfId="144">
      <pivotArea dataOnly="0" labelOnly="1" fieldPosition="0">
        <references count="3">
          <reference field="3" count="1" selected="0">
            <x v="0"/>
          </reference>
          <reference field="4" count="1" selected="0">
            <x v="3"/>
          </reference>
          <reference field="5" count="1">
            <x v="33"/>
          </reference>
        </references>
      </pivotArea>
    </format>
    <format dxfId="143">
      <pivotArea dataOnly="0" labelOnly="1" fieldPosition="0">
        <references count="3">
          <reference field="3" count="1" selected="0">
            <x v="19"/>
          </reference>
          <reference field="4" count="1" selected="0">
            <x v="4"/>
          </reference>
          <reference field="5" count="1">
            <x v="60"/>
          </reference>
        </references>
      </pivotArea>
    </format>
    <format dxfId="142">
      <pivotArea dataOnly="0" labelOnly="1" fieldPosition="0">
        <references count="3">
          <reference field="3" count="1" selected="0">
            <x v="28"/>
          </reference>
          <reference field="4" count="1" selected="0">
            <x v="5"/>
          </reference>
          <reference field="5" count="1">
            <x v="9"/>
          </reference>
        </references>
      </pivotArea>
    </format>
    <format dxfId="141">
      <pivotArea dataOnly="0" labelOnly="1" fieldPosition="0">
        <references count="3">
          <reference field="3" count="1" selected="0">
            <x v="26"/>
          </reference>
          <reference field="4" count="1" selected="0">
            <x v="6"/>
          </reference>
          <reference field="5" count="1">
            <x v="4"/>
          </reference>
        </references>
      </pivotArea>
    </format>
    <format dxfId="140">
      <pivotArea dataOnly="0" labelOnly="1" fieldPosition="0">
        <references count="3">
          <reference field="3" count="1" selected="0">
            <x v="31"/>
          </reference>
          <reference field="4" count="1" selected="0">
            <x v="7"/>
          </reference>
          <reference field="5" count="1">
            <x v="7"/>
          </reference>
        </references>
      </pivotArea>
    </format>
    <format dxfId="139">
      <pivotArea dataOnly="0" labelOnly="1" fieldPosition="0">
        <references count="3">
          <reference field="3" count="1" selected="0">
            <x v="33"/>
          </reference>
          <reference field="4" count="1" selected="0">
            <x v="8"/>
          </reference>
          <reference field="5" count="1">
            <x v="5"/>
          </reference>
        </references>
      </pivotArea>
    </format>
    <format dxfId="138">
      <pivotArea dataOnly="0" labelOnly="1" fieldPosition="0">
        <references count="3">
          <reference field="3" count="1" selected="0">
            <x v="34"/>
          </reference>
          <reference field="4" count="1" selected="0">
            <x v="9"/>
          </reference>
          <reference field="5" count="1">
            <x v="6"/>
          </reference>
        </references>
      </pivotArea>
    </format>
    <format dxfId="137">
      <pivotArea dataOnly="0" labelOnly="1" fieldPosition="0">
        <references count="3">
          <reference field="3" count="1" selected="0">
            <x v="36"/>
          </reference>
          <reference field="4" count="1" selected="0">
            <x v="10"/>
          </reference>
          <reference field="5" count="1">
            <x v="8"/>
          </reference>
        </references>
      </pivotArea>
    </format>
    <format dxfId="136">
      <pivotArea dataOnly="0" labelOnly="1" fieldPosition="0">
        <references count="3">
          <reference field="3" count="1" selected="0">
            <x v="39"/>
          </reference>
          <reference field="4" count="1" selected="0">
            <x v="11"/>
          </reference>
          <reference field="5" count="1">
            <x v="1"/>
          </reference>
        </references>
      </pivotArea>
    </format>
    <format dxfId="135">
      <pivotArea dataOnly="0" labelOnly="1" fieldPosition="0">
        <references count="3">
          <reference field="3" count="1" selected="0">
            <x v="40"/>
          </reference>
          <reference field="4" count="1" selected="0">
            <x v="12"/>
          </reference>
          <reference field="5" count="1">
            <x v="0"/>
          </reference>
        </references>
      </pivotArea>
    </format>
    <format dxfId="134">
      <pivotArea dataOnly="0" labelOnly="1" fieldPosition="0">
        <references count="3">
          <reference field="3" count="1" selected="0">
            <x v="42"/>
          </reference>
          <reference field="4" count="1" selected="0">
            <x v="13"/>
          </reference>
          <reference field="5" count="1">
            <x v="2"/>
          </reference>
        </references>
      </pivotArea>
    </format>
    <format dxfId="133">
      <pivotArea dataOnly="0" labelOnly="1" fieldPosition="0">
        <references count="3">
          <reference field="3" count="1" selected="0">
            <x v="43"/>
          </reference>
          <reference field="4" count="1" selected="0">
            <x v="14"/>
          </reference>
          <reference field="5" count="1">
            <x v="3"/>
          </reference>
        </references>
      </pivotArea>
    </format>
    <format dxfId="132">
      <pivotArea dataOnly="0" labelOnly="1" fieldPosition="0">
        <references count="3">
          <reference field="3" count="1" selected="0">
            <x v="22"/>
          </reference>
          <reference field="4" count="1" selected="0">
            <x v="15"/>
          </reference>
          <reference field="5" count="1">
            <x v="29"/>
          </reference>
        </references>
      </pivotArea>
    </format>
    <format dxfId="131">
      <pivotArea dataOnly="0" labelOnly="1" fieldPosition="0">
        <references count="3">
          <reference field="3" count="1" selected="0">
            <x v="24"/>
          </reference>
          <reference field="4" count="1" selected="0">
            <x v="16"/>
          </reference>
          <reference field="5" count="1">
            <x v="31"/>
          </reference>
        </references>
      </pivotArea>
    </format>
    <format dxfId="130">
      <pivotArea dataOnly="0" labelOnly="1" fieldPosition="0">
        <references count="3">
          <reference field="3" count="1" selected="0">
            <x v="44"/>
          </reference>
          <reference field="4" count="1" selected="0">
            <x v="17"/>
          </reference>
          <reference field="5" count="1">
            <x v="27"/>
          </reference>
        </references>
      </pivotArea>
    </format>
    <format dxfId="129">
      <pivotArea dataOnly="0" labelOnly="1" fieldPosition="0">
        <references count="3">
          <reference field="3" count="1" selected="0">
            <x v="23"/>
          </reference>
          <reference field="4" count="1" selected="0">
            <x v="18"/>
          </reference>
          <reference field="5" count="1">
            <x v="30"/>
          </reference>
        </references>
      </pivotArea>
    </format>
    <format dxfId="128">
      <pivotArea dataOnly="0" labelOnly="1" fieldPosition="0">
        <references count="3">
          <reference field="3" count="1" selected="0">
            <x v="0"/>
          </reference>
          <reference field="4" count="1" selected="0">
            <x v="19"/>
          </reference>
          <reference field="5" count="1">
            <x v="61"/>
          </reference>
        </references>
      </pivotArea>
    </format>
    <format dxfId="127">
      <pivotArea dataOnly="0" labelOnly="1" fieldPosition="0">
        <references count="3">
          <reference field="3" count="1" selected="0">
            <x v="20"/>
          </reference>
          <reference field="4" count="1" selected="0">
            <x v="20"/>
          </reference>
          <reference field="5" count="2">
            <x v="38"/>
            <x v="62"/>
          </reference>
        </references>
      </pivotArea>
    </format>
    <format dxfId="126">
      <pivotArea dataOnly="0" labelOnly="1" fieldPosition="0">
        <references count="3">
          <reference field="3" count="1" selected="0">
            <x v="10"/>
          </reference>
          <reference field="4" count="1" selected="0">
            <x v="21"/>
          </reference>
          <reference field="5" count="1">
            <x v="63"/>
          </reference>
        </references>
      </pivotArea>
    </format>
    <format dxfId="125">
      <pivotArea dataOnly="0" labelOnly="1" fieldPosition="0">
        <references count="3">
          <reference field="3" count="1" selected="0">
            <x v="10"/>
          </reference>
          <reference field="4" count="1" selected="0">
            <x v="22"/>
          </reference>
          <reference field="5" count="1">
            <x v="57"/>
          </reference>
        </references>
      </pivotArea>
    </format>
    <format dxfId="124">
      <pivotArea dataOnly="0" labelOnly="1" fieldPosition="0">
        <references count="3">
          <reference field="3" count="1" selected="0">
            <x v="3"/>
          </reference>
          <reference field="4" count="1" selected="0">
            <x v="23"/>
          </reference>
          <reference field="5" count="1">
            <x v="28"/>
          </reference>
        </references>
      </pivotArea>
    </format>
    <format dxfId="123">
      <pivotArea dataOnly="0" labelOnly="1" fieldPosition="0">
        <references count="3">
          <reference field="3" count="1" selected="0">
            <x v="12"/>
          </reference>
          <reference field="4" count="1" selected="0">
            <x v="24"/>
          </reference>
          <reference field="5" count="1">
            <x v="36"/>
          </reference>
        </references>
      </pivotArea>
    </format>
    <format dxfId="122">
      <pivotArea dataOnly="0" labelOnly="1" fieldPosition="0">
        <references count="3">
          <reference field="3" count="1" selected="0">
            <x v="10"/>
          </reference>
          <reference field="4" count="1" selected="0">
            <x v="25"/>
          </reference>
          <reference field="5" count="1">
            <x v="51"/>
          </reference>
        </references>
      </pivotArea>
    </format>
    <format dxfId="121">
      <pivotArea dataOnly="0" labelOnly="1" fieldPosition="0">
        <references count="3">
          <reference field="3" count="1" selected="0">
            <x v="0"/>
          </reference>
          <reference field="4" count="1" selected="0">
            <x v="26"/>
          </reference>
          <reference field="5" count="1">
            <x v="56"/>
          </reference>
        </references>
      </pivotArea>
    </format>
    <format dxfId="120">
      <pivotArea dataOnly="0" labelOnly="1" fieldPosition="0">
        <references count="3">
          <reference field="3" count="1" selected="0">
            <x v="11"/>
          </reference>
          <reference field="4" count="1" selected="0">
            <x v="27"/>
          </reference>
          <reference field="5" count="1">
            <x v="64"/>
          </reference>
        </references>
      </pivotArea>
    </format>
    <format dxfId="119">
      <pivotArea dataOnly="0" labelOnly="1" fieldPosition="0">
        <references count="3">
          <reference field="3" count="1" selected="0">
            <x v="21"/>
          </reference>
          <reference field="4" count="1" selected="0">
            <x v="28"/>
          </reference>
          <reference field="5" count="1">
            <x v="16"/>
          </reference>
        </references>
      </pivotArea>
    </format>
    <format dxfId="118">
      <pivotArea dataOnly="0" labelOnly="1" fieldPosition="0">
        <references count="3">
          <reference field="3" count="1" selected="0">
            <x v="25"/>
          </reference>
          <reference field="4" count="1" selected="0">
            <x v="29"/>
          </reference>
          <reference field="5" count="1">
            <x v="13"/>
          </reference>
        </references>
      </pivotArea>
    </format>
    <format dxfId="117">
      <pivotArea dataOnly="0" labelOnly="1" fieldPosition="0">
        <references count="3">
          <reference field="3" count="1" selected="0">
            <x v="30"/>
          </reference>
          <reference field="4" count="1" selected="0">
            <x v="30"/>
          </reference>
          <reference field="5" count="1">
            <x v="14"/>
          </reference>
        </references>
      </pivotArea>
    </format>
    <format dxfId="116">
      <pivotArea dataOnly="0" labelOnly="1" fieldPosition="0">
        <references count="3">
          <reference field="3" count="1" selected="0">
            <x v="35"/>
          </reference>
          <reference field="4" count="1" selected="0">
            <x v="31"/>
          </reference>
          <reference field="5" count="1">
            <x v="15"/>
          </reference>
        </references>
      </pivotArea>
    </format>
    <format dxfId="115">
      <pivotArea dataOnly="0" labelOnly="1" fieldPosition="0">
        <references count="3">
          <reference field="3" count="1" selected="0">
            <x v="38"/>
          </reference>
          <reference field="4" count="1" selected="0">
            <x v="32"/>
          </reference>
          <reference field="5" count="1">
            <x v="10"/>
          </reference>
        </references>
      </pivotArea>
    </format>
    <format dxfId="114">
      <pivotArea dataOnly="0" labelOnly="1" fieldPosition="0">
        <references count="3">
          <reference field="3" count="1" selected="0">
            <x v="41"/>
          </reference>
          <reference field="4" count="1" selected="0">
            <x v="33"/>
          </reference>
          <reference field="5" count="1">
            <x v="11"/>
          </reference>
        </references>
      </pivotArea>
    </format>
    <format dxfId="113">
      <pivotArea dataOnly="0" labelOnly="1" fieldPosition="0">
        <references count="3">
          <reference field="3" count="1" selected="0">
            <x v="25"/>
          </reference>
          <reference field="4" count="1" selected="0">
            <x v="34"/>
          </reference>
          <reference field="5" count="1">
            <x v="13"/>
          </reference>
        </references>
      </pivotArea>
    </format>
    <format dxfId="112">
      <pivotArea dataOnly="0" labelOnly="1" fieldPosition="0">
        <references count="3">
          <reference field="3" count="1" selected="0">
            <x v="29"/>
          </reference>
          <reference field="4" count="1" selected="0">
            <x v="34"/>
          </reference>
          <reference field="5" count="1">
            <x v="14"/>
          </reference>
        </references>
      </pivotArea>
    </format>
    <format dxfId="111">
      <pivotArea dataOnly="0" labelOnly="1" fieldPosition="0">
        <references count="3">
          <reference field="3" count="1" selected="0">
            <x v="35"/>
          </reference>
          <reference field="4" count="1" selected="0">
            <x v="34"/>
          </reference>
          <reference field="5" count="1">
            <x v="15"/>
          </reference>
        </references>
      </pivotArea>
    </format>
    <format dxfId="110">
      <pivotArea dataOnly="0" labelOnly="1" fieldPosition="0">
        <references count="3">
          <reference field="3" count="1" selected="0">
            <x v="37"/>
          </reference>
          <reference field="4" count="1" selected="0">
            <x v="34"/>
          </reference>
          <reference field="5" count="1">
            <x v="10"/>
          </reference>
        </references>
      </pivotArea>
    </format>
    <format dxfId="109">
      <pivotArea dataOnly="0" labelOnly="1" fieldPosition="0">
        <references count="3">
          <reference field="3" count="1" selected="0">
            <x v="41"/>
          </reference>
          <reference field="4" count="1" selected="0">
            <x v="34"/>
          </reference>
          <reference field="5" count="2">
            <x v="11"/>
            <x v="12"/>
          </reference>
        </references>
      </pivotArea>
    </format>
    <format dxfId="108">
      <pivotArea dataOnly="0" labelOnly="1" fieldPosition="0">
        <references count="3">
          <reference field="3" count="1" selected="0">
            <x v="10"/>
          </reference>
          <reference field="4" count="1" selected="0">
            <x v="35"/>
          </reference>
          <reference field="5" count="1">
            <x v="53"/>
          </reference>
        </references>
      </pivotArea>
    </format>
    <format dxfId="107">
      <pivotArea dataOnly="0" labelOnly="1" fieldPosition="0">
        <references count="3">
          <reference field="3" count="1" selected="0">
            <x v="10"/>
          </reference>
          <reference field="4" count="1" selected="0">
            <x v="36"/>
          </reference>
          <reference field="5" count="1">
            <x v="34"/>
          </reference>
        </references>
      </pivotArea>
    </format>
    <format dxfId="106">
      <pivotArea dataOnly="0" labelOnly="1" fieldPosition="0">
        <references count="3">
          <reference field="3" count="1" selected="0">
            <x v="10"/>
          </reference>
          <reference field="4" count="1" selected="0">
            <x v="37"/>
          </reference>
          <reference field="5" count="2">
            <x v="35"/>
            <x v="52"/>
          </reference>
        </references>
      </pivotArea>
    </format>
    <format dxfId="105">
      <pivotArea dataOnly="0" labelOnly="1" fieldPosition="0">
        <references count="3">
          <reference field="3" count="1" selected="0">
            <x v="45"/>
          </reference>
          <reference field="4" count="1" selected="0">
            <x v="38"/>
          </reference>
          <reference field="5" count="1">
            <x v="54"/>
          </reference>
        </references>
      </pivotArea>
    </format>
    <format dxfId="104">
      <pivotArea dataOnly="0" labelOnly="1" fieldPosition="0">
        <references count="3">
          <reference field="3" count="1" selected="0">
            <x v="47"/>
          </reference>
          <reference field="4" count="1" selected="0">
            <x v="39"/>
          </reference>
          <reference field="5" count="1">
            <x v="55"/>
          </reference>
        </references>
      </pivotArea>
    </format>
    <format dxfId="103">
      <pivotArea dataOnly="0" labelOnly="1" fieldPosition="0">
        <references count="3">
          <reference field="3" count="1" selected="0">
            <x v="10"/>
          </reference>
          <reference field="4" count="1" selected="0">
            <x v="40"/>
          </reference>
          <reference field="5" count="2">
            <x v="49"/>
            <x v="58"/>
          </reference>
        </references>
      </pivotArea>
    </format>
    <format dxfId="102">
      <pivotArea dataOnly="0" labelOnly="1" fieldPosition="0">
        <references count="3">
          <reference field="3" count="1" selected="0">
            <x v="10"/>
          </reference>
          <reference field="4" count="1" selected="0">
            <x v="41"/>
          </reference>
          <reference field="5" count="1">
            <x v="50"/>
          </reference>
        </references>
      </pivotArea>
    </format>
    <format dxfId="101">
      <pivotArea dataOnly="0" labelOnly="1" fieldPosition="0">
        <references count="3">
          <reference field="3" count="1" selected="0">
            <x v="16"/>
          </reference>
          <reference field="4" count="1" selected="0">
            <x v="42"/>
          </reference>
          <reference field="5" count="1">
            <x v="17"/>
          </reference>
        </references>
      </pivotArea>
    </format>
    <format dxfId="100">
      <pivotArea dataOnly="0" labelOnly="1" fieldPosition="0">
        <references count="3">
          <reference field="3" count="1" selected="0">
            <x v="5"/>
          </reference>
          <reference field="4" count="1" selected="0">
            <x v="43"/>
          </reference>
          <reference field="5" count="1">
            <x v="23"/>
          </reference>
        </references>
      </pivotArea>
    </format>
    <format dxfId="99">
      <pivotArea dataOnly="0" labelOnly="1" fieldPosition="0">
        <references count="3">
          <reference field="3" count="1" selected="0">
            <x v="7"/>
          </reference>
          <reference field="4" count="1" selected="0">
            <x v="44"/>
          </reference>
          <reference field="5" count="1">
            <x v="19"/>
          </reference>
        </references>
      </pivotArea>
    </format>
    <format dxfId="98">
      <pivotArea dataOnly="0" labelOnly="1" fieldPosition="0">
        <references count="3">
          <reference field="3" count="1" selected="0">
            <x v="15"/>
          </reference>
          <reference field="4" count="1" selected="0">
            <x v="45"/>
          </reference>
          <reference field="5" count="1">
            <x v="18"/>
          </reference>
        </references>
      </pivotArea>
    </format>
    <format dxfId="97">
      <pivotArea dataOnly="0" labelOnly="1" fieldPosition="0">
        <references count="3">
          <reference field="3" count="1" selected="0">
            <x v="9"/>
          </reference>
          <reference field="4" count="1" selected="0">
            <x v="46"/>
          </reference>
          <reference field="5" count="1">
            <x v="20"/>
          </reference>
        </references>
      </pivotArea>
    </format>
    <format dxfId="96">
      <pivotArea dataOnly="0" labelOnly="1" fieldPosition="0">
        <references count="3">
          <reference field="3" count="1" selected="0">
            <x v="4"/>
          </reference>
          <reference field="4" count="1" selected="0">
            <x v="47"/>
          </reference>
          <reference field="5" count="2">
            <x v="23"/>
            <x v="24"/>
          </reference>
        </references>
      </pivotArea>
    </format>
    <format dxfId="95">
      <pivotArea dataOnly="0" labelOnly="1" fieldPosition="0">
        <references count="3">
          <reference field="3" count="1" selected="0">
            <x v="6"/>
          </reference>
          <reference field="4" count="1" selected="0">
            <x v="48"/>
          </reference>
          <reference field="5" count="2">
            <x v="19"/>
            <x v="25"/>
          </reference>
        </references>
      </pivotArea>
    </format>
    <format dxfId="94">
      <pivotArea dataOnly="0" labelOnly="1" fieldPosition="0">
        <references count="3">
          <reference field="3" count="1" selected="0">
            <x v="8"/>
          </reference>
          <reference field="4" count="1" selected="0">
            <x v="49"/>
          </reference>
          <reference field="5" count="1">
            <x v="26"/>
          </reference>
        </references>
      </pivotArea>
    </format>
    <format dxfId="93">
      <pivotArea dataOnly="0" labelOnly="1" fieldPosition="0">
        <references count="3">
          <reference field="3" count="1" selected="0">
            <x v="14"/>
          </reference>
          <reference field="4" count="1" selected="0">
            <x v="50"/>
          </reference>
          <reference field="5" count="2">
            <x v="21"/>
            <x v="22"/>
          </reference>
        </references>
      </pivotArea>
    </format>
    <format dxfId="92">
      <pivotArea dataOnly="0" labelOnly="1" fieldPosition="0">
        <references count="3">
          <reference field="3" count="1" selected="0">
            <x v="18"/>
          </reference>
          <reference field="4" count="1" selected="0">
            <x v="51"/>
          </reference>
          <reference field="5" count="2">
            <x v="39"/>
            <x v="47"/>
          </reference>
        </references>
      </pivotArea>
    </format>
    <format dxfId="91">
      <pivotArea dataOnly="0" labelOnly="1" fieldPosition="0">
        <references count="3">
          <reference field="3" count="1" selected="0">
            <x v="47"/>
          </reference>
          <reference field="4" count="1" selected="0">
            <x v="52"/>
          </reference>
          <reference field="5" count="1">
            <x v="40"/>
          </reference>
        </references>
      </pivotArea>
    </format>
    <format dxfId="90">
      <pivotArea dataOnly="0" labelOnly="1" fieldPosition="0">
        <references count="3">
          <reference field="3" count="1" selected="0">
            <x v="47"/>
          </reference>
          <reference field="4" count="1" selected="0">
            <x v="53"/>
          </reference>
          <reference field="5" count="2">
            <x v="41"/>
            <x v="42"/>
          </reference>
        </references>
      </pivotArea>
    </format>
    <format dxfId="89">
      <pivotArea dataOnly="0" labelOnly="1" fieldPosition="0">
        <references count="3">
          <reference field="3" count="1" selected="0">
            <x v="47"/>
          </reference>
          <reference field="4" count="1" selected="0">
            <x v="54"/>
          </reference>
          <reference field="5" count="1">
            <x v="44"/>
          </reference>
        </references>
      </pivotArea>
    </format>
    <format dxfId="88">
      <pivotArea dataOnly="0" labelOnly="1" fieldPosition="0">
        <references count="3">
          <reference field="3" count="1" selected="0">
            <x v="47"/>
          </reference>
          <reference field="4" count="1" selected="0">
            <x v="55"/>
          </reference>
          <reference field="5" count="1">
            <x v="45"/>
          </reference>
        </references>
      </pivotArea>
    </format>
    <format dxfId="87">
      <pivotArea dataOnly="0" labelOnly="1" fieldPosition="0">
        <references count="3">
          <reference field="3" count="1" selected="0">
            <x v="47"/>
          </reference>
          <reference field="4" count="1" selected="0">
            <x v="56"/>
          </reference>
          <reference field="5" count="1">
            <x v="43"/>
          </reference>
        </references>
      </pivotArea>
    </format>
    <format dxfId="86">
      <pivotArea dataOnly="0" labelOnly="1" fieldPosition="0">
        <references count="3">
          <reference field="3" count="1" selected="0">
            <x v="20"/>
          </reference>
          <reference field="4" count="1" selected="0">
            <x v="57"/>
          </reference>
          <reference field="5" count="1">
            <x v="46"/>
          </reference>
        </references>
      </pivotArea>
    </format>
    <format dxfId="85">
      <pivotArea dataOnly="0" labelOnly="1" fieldPosition="0">
        <references count="3">
          <reference field="3" count="1" selected="0">
            <x v="20"/>
          </reference>
          <reference field="4" count="1" selected="0">
            <x v="58"/>
          </reference>
          <reference field="5" count="1">
            <x v="47"/>
          </reference>
        </references>
      </pivotArea>
    </format>
    <format dxfId="84">
      <pivotArea dataOnly="0" labelOnly="1" fieldPosition="0">
        <references count="3">
          <reference field="3" count="1" selected="0">
            <x v="48"/>
          </reference>
          <reference field="4" count="1" selected="0">
            <x v="59"/>
          </reference>
          <reference field="5" count="1">
            <x v="48"/>
          </reference>
        </references>
      </pivotArea>
    </format>
    <format dxfId="83">
      <pivotArea dataOnly="0" labelOnly="1" fieldPosition="0">
        <references count="4">
          <reference field="3" count="1" selected="0">
            <x v="46"/>
          </reference>
          <reference field="4" count="1" selected="0">
            <x v="0"/>
          </reference>
          <reference field="5" count="1" selected="0">
            <x v="59"/>
          </reference>
          <reference field="7" count="1">
            <x v="2"/>
          </reference>
        </references>
      </pivotArea>
    </format>
    <format dxfId="82">
      <pivotArea dataOnly="0" labelOnly="1" fieldPosition="0">
        <references count="4">
          <reference field="3" count="1" selected="0">
            <x v="2"/>
          </reference>
          <reference field="4" count="1" selected="0">
            <x v="1"/>
          </reference>
          <reference field="5" count="1" selected="0">
            <x v="32"/>
          </reference>
          <reference field="7" count="1">
            <x v="2"/>
          </reference>
        </references>
      </pivotArea>
    </format>
    <format dxfId="81">
      <pivotArea dataOnly="0" labelOnly="1" fieldPosition="0">
        <references count="4">
          <reference field="3" count="1" selected="0">
            <x v="1"/>
          </reference>
          <reference field="4" count="1" selected="0">
            <x v="2"/>
          </reference>
          <reference field="5" count="1" selected="0">
            <x v="37"/>
          </reference>
          <reference field="7" count="1">
            <x v="2"/>
          </reference>
        </references>
      </pivotArea>
    </format>
    <format dxfId="80">
      <pivotArea dataOnly="0" labelOnly="1" fieldPosition="0">
        <references count="4">
          <reference field="3" count="1" selected="0">
            <x v="0"/>
          </reference>
          <reference field="4" count="1" selected="0">
            <x v="3"/>
          </reference>
          <reference field="5" count="1" selected="0">
            <x v="33"/>
          </reference>
          <reference field="7" count="1">
            <x v="2"/>
          </reference>
        </references>
      </pivotArea>
    </format>
    <format dxfId="79">
      <pivotArea dataOnly="0" labelOnly="1" fieldPosition="0">
        <references count="4">
          <reference field="3" count="1" selected="0">
            <x v="19"/>
          </reference>
          <reference field="4" count="1" selected="0">
            <x v="4"/>
          </reference>
          <reference field="5" count="1" selected="0">
            <x v="60"/>
          </reference>
          <reference field="7" count="1">
            <x v="2"/>
          </reference>
        </references>
      </pivotArea>
    </format>
    <format dxfId="78">
      <pivotArea dataOnly="0" labelOnly="1" fieldPosition="0">
        <references count="4">
          <reference field="3" count="1" selected="0">
            <x v="28"/>
          </reference>
          <reference field="4" count="1" selected="0">
            <x v="5"/>
          </reference>
          <reference field="5" count="1" selected="0">
            <x v="9"/>
          </reference>
          <reference field="7" count="1">
            <x v="2"/>
          </reference>
        </references>
      </pivotArea>
    </format>
    <format dxfId="77">
      <pivotArea dataOnly="0" labelOnly="1" fieldPosition="0">
        <references count="4">
          <reference field="3" count="1" selected="0">
            <x v="26"/>
          </reference>
          <reference field="4" count="1" selected="0">
            <x v="6"/>
          </reference>
          <reference field="5" count="1" selected="0">
            <x v="4"/>
          </reference>
          <reference field="7" count="1">
            <x v="2"/>
          </reference>
        </references>
      </pivotArea>
    </format>
    <format dxfId="76">
      <pivotArea dataOnly="0" labelOnly="1" fieldPosition="0">
        <references count="4">
          <reference field="3" count="1" selected="0">
            <x v="31"/>
          </reference>
          <reference field="4" count="1" selected="0">
            <x v="7"/>
          </reference>
          <reference field="5" count="1" selected="0">
            <x v="7"/>
          </reference>
          <reference field="7" count="1">
            <x v="2"/>
          </reference>
        </references>
      </pivotArea>
    </format>
    <format dxfId="75">
      <pivotArea dataOnly="0" labelOnly="1" fieldPosition="0">
        <references count="4">
          <reference field="3" count="1" selected="0">
            <x v="32"/>
          </reference>
          <reference field="4" count="1" selected="0">
            <x v="7"/>
          </reference>
          <reference field="5" count="1" selected="0">
            <x v="7"/>
          </reference>
          <reference field="7" count="1">
            <x v="2"/>
          </reference>
        </references>
      </pivotArea>
    </format>
    <format dxfId="74">
      <pivotArea dataOnly="0" labelOnly="1" fieldPosition="0">
        <references count="4">
          <reference field="3" count="1" selected="0">
            <x v="33"/>
          </reference>
          <reference field="4" count="1" selected="0">
            <x v="8"/>
          </reference>
          <reference field="5" count="1" selected="0">
            <x v="5"/>
          </reference>
          <reference field="7" count="1">
            <x v="2"/>
          </reference>
        </references>
      </pivotArea>
    </format>
    <format dxfId="73">
      <pivotArea dataOnly="0" labelOnly="1" fieldPosition="0">
        <references count="4">
          <reference field="3" count="1" selected="0">
            <x v="34"/>
          </reference>
          <reference field="4" count="1" selected="0">
            <x v="9"/>
          </reference>
          <reference field="5" count="1" selected="0">
            <x v="6"/>
          </reference>
          <reference field="7" count="1">
            <x v="2"/>
          </reference>
        </references>
      </pivotArea>
    </format>
    <format dxfId="72">
      <pivotArea dataOnly="0" labelOnly="1" fieldPosition="0">
        <references count="4">
          <reference field="3" count="1" selected="0">
            <x v="36"/>
          </reference>
          <reference field="4" count="1" selected="0">
            <x v="10"/>
          </reference>
          <reference field="5" count="1" selected="0">
            <x v="8"/>
          </reference>
          <reference field="7" count="1">
            <x v="2"/>
          </reference>
        </references>
      </pivotArea>
    </format>
    <format dxfId="71">
      <pivotArea dataOnly="0" labelOnly="1" fieldPosition="0">
        <references count="4">
          <reference field="3" count="1" selected="0">
            <x v="39"/>
          </reference>
          <reference field="4" count="1" selected="0">
            <x v="11"/>
          </reference>
          <reference field="5" count="1" selected="0">
            <x v="1"/>
          </reference>
          <reference field="7" count="1">
            <x v="2"/>
          </reference>
        </references>
      </pivotArea>
    </format>
    <format dxfId="70">
      <pivotArea dataOnly="0" labelOnly="1" fieldPosition="0">
        <references count="4">
          <reference field="3" count="1" selected="0">
            <x v="40"/>
          </reference>
          <reference field="4" count="1" selected="0">
            <x v="12"/>
          </reference>
          <reference field="5" count="1" selected="0">
            <x v="0"/>
          </reference>
          <reference field="7" count="1">
            <x v="2"/>
          </reference>
        </references>
      </pivotArea>
    </format>
    <format dxfId="69">
      <pivotArea dataOnly="0" labelOnly="1" fieldPosition="0">
        <references count="4">
          <reference field="3" count="1" selected="0">
            <x v="42"/>
          </reference>
          <reference field="4" count="1" selected="0">
            <x v="13"/>
          </reference>
          <reference field="5" count="1" selected="0">
            <x v="2"/>
          </reference>
          <reference field="7" count="1">
            <x v="2"/>
          </reference>
        </references>
      </pivotArea>
    </format>
    <format dxfId="68">
      <pivotArea dataOnly="0" labelOnly="1" fieldPosition="0">
        <references count="4">
          <reference field="3" count="1" selected="0">
            <x v="43"/>
          </reference>
          <reference field="4" count="1" selected="0">
            <x v="14"/>
          </reference>
          <reference field="5" count="1" selected="0">
            <x v="2"/>
          </reference>
          <reference field="7" count="1">
            <x v="2"/>
          </reference>
        </references>
      </pivotArea>
    </format>
    <format dxfId="67">
      <pivotArea dataOnly="0" labelOnly="1" fieldPosition="0">
        <references count="4">
          <reference field="3" count="1" selected="0">
            <x v="43"/>
          </reference>
          <reference field="4" count="1" selected="0">
            <x v="14"/>
          </reference>
          <reference field="5" count="1" selected="0">
            <x v="3"/>
          </reference>
          <reference field="7" count="1">
            <x v="2"/>
          </reference>
        </references>
      </pivotArea>
    </format>
    <format dxfId="66">
      <pivotArea dataOnly="0" labelOnly="1" fieldPosition="0">
        <references count="4">
          <reference field="3" count="1" selected="0">
            <x v="22"/>
          </reference>
          <reference field="4" count="1" selected="0">
            <x v="15"/>
          </reference>
          <reference field="5" count="1" selected="0">
            <x v="29"/>
          </reference>
          <reference field="7" count="1">
            <x v="2"/>
          </reference>
        </references>
      </pivotArea>
    </format>
    <format dxfId="65">
      <pivotArea dataOnly="0" labelOnly="1" fieldPosition="0">
        <references count="4">
          <reference field="3" count="1" selected="0">
            <x v="24"/>
          </reference>
          <reference field="4" count="1" selected="0">
            <x v="16"/>
          </reference>
          <reference field="5" count="1" selected="0">
            <x v="31"/>
          </reference>
          <reference field="7" count="1">
            <x v="2"/>
          </reference>
        </references>
      </pivotArea>
    </format>
    <format dxfId="64">
      <pivotArea dataOnly="0" labelOnly="1" fieldPosition="0">
        <references count="4">
          <reference field="3" count="1" selected="0">
            <x v="44"/>
          </reference>
          <reference field="4" count="1" selected="0">
            <x v="17"/>
          </reference>
          <reference field="5" count="1" selected="0">
            <x v="27"/>
          </reference>
          <reference field="7" count="1">
            <x v="2"/>
          </reference>
        </references>
      </pivotArea>
    </format>
    <format dxfId="63">
      <pivotArea dataOnly="0" labelOnly="1" fieldPosition="0">
        <references count="4">
          <reference field="3" count="1" selected="0">
            <x v="23"/>
          </reference>
          <reference field="4" count="1" selected="0">
            <x v="18"/>
          </reference>
          <reference field="5" count="1" selected="0">
            <x v="30"/>
          </reference>
          <reference field="7" count="1">
            <x v="2"/>
          </reference>
        </references>
      </pivotArea>
    </format>
    <format dxfId="62">
      <pivotArea dataOnly="0" labelOnly="1" fieldPosition="0">
        <references count="4">
          <reference field="3" count="1" selected="0">
            <x v="0"/>
          </reference>
          <reference field="4" count="1" selected="0">
            <x v="19"/>
          </reference>
          <reference field="5" count="1" selected="0">
            <x v="61"/>
          </reference>
          <reference field="7" count="1">
            <x v="2"/>
          </reference>
        </references>
      </pivotArea>
    </format>
    <format dxfId="61">
      <pivotArea dataOnly="0" labelOnly="1" fieldPosition="0">
        <references count="4">
          <reference field="3" count="1" selected="0">
            <x v="20"/>
          </reference>
          <reference field="4" count="1" selected="0">
            <x v="20"/>
          </reference>
          <reference field="5" count="1" selected="0">
            <x v="38"/>
          </reference>
          <reference field="7" count="1">
            <x v="0"/>
          </reference>
        </references>
      </pivotArea>
    </format>
    <format dxfId="60">
      <pivotArea dataOnly="0" labelOnly="1" fieldPosition="0">
        <references count="4">
          <reference field="3" count="1" selected="0">
            <x v="20"/>
          </reference>
          <reference field="4" count="1" selected="0">
            <x v="20"/>
          </reference>
          <reference field="5" count="1" selected="0">
            <x v="62"/>
          </reference>
          <reference field="7" count="1">
            <x v="0"/>
          </reference>
        </references>
      </pivotArea>
    </format>
    <format dxfId="59">
      <pivotArea dataOnly="0" labelOnly="1" fieldPosition="0">
        <references count="4">
          <reference field="3" count="1" selected="0">
            <x v="10"/>
          </reference>
          <reference field="4" count="1" selected="0">
            <x v="21"/>
          </reference>
          <reference field="5" count="1" selected="0">
            <x v="63"/>
          </reference>
          <reference field="7" count="1">
            <x v="2"/>
          </reference>
        </references>
      </pivotArea>
    </format>
    <format dxfId="58">
      <pivotArea dataOnly="0" labelOnly="1" fieldPosition="0">
        <references count="4">
          <reference field="3" count="1" selected="0">
            <x v="10"/>
          </reference>
          <reference field="4" count="1" selected="0">
            <x v="22"/>
          </reference>
          <reference field="5" count="1" selected="0">
            <x v="57"/>
          </reference>
          <reference field="7" count="1">
            <x v="2"/>
          </reference>
        </references>
      </pivotArea>
    </format>
    <format dxfId="57">
      <pivotArea dataOnly="0" labelOnly="1" fieldPosition="0">
        <references count="4">
          <reference field="3" count="1" selected="0">
            <x v="3"/>
          </reference>
          <reference field="4" count="1" selected="0">
            <x v="23"/>
          </reference>
          <reference field="5" count="1" selected="0">
            <x v="28"/>
          </reference>
          <reference field="7" count="1">
            <x v="2"/>
          </reference>
        </references>
      </pivotArea>
    </format>
    <format dxfId="56">
      <pivotArea dataOnly="0" labelOnly="1" fieldPosition="0">
        <references count="4">
          <reference field="3" count="1" selected="0">
            <x v="12"/>
          </reference>
          <reference field="4" count="1" selected="0">
            <x v="24"/>
          </reference>
          <reference field="5" count="1" selected="0">
            <x v="36"/>
          </reference>
          <reference field="7" count="1">
            <x v="1"/>
          </reference>
        </references>
      </pivotArea>
    </format>
    <format dxfId="55">
      <pivotArea dataOnly="0" labelOnly="1" fieldPosition="0">
        <references count="4">
          <reference field="3" count="1" selected="0">
            <x v="10"/>
          </reference>
          <reference field="4" count="1" selected="0">
            <x v="25"/>
          </reference>
          <reference field="5" count="1" selected="0">
            <x v="51"/>
          </reference>
          <reference field="7" count="1">
            <x v="1"/>
          </reference>
        </references>
      </pivotArea>
    </format>
    <format dxfId="54">
      <pivotArea dataOnly="0" labelOnly="1" fieldPosition="0">
        <references count="4">
          <reference field="3" count="1" selected="0">
            <x v="0"/>
          </reference>
          <reference field="4" count="1" selected="0">
            <x v="26"/>
          </reference>
          <reference field="5" count="1" selected="0">
            <x v="56"/>
          </reference>
          <reference field="7" count="1">
            <x v="1"/>
          </reference>
        </references>
      </pivotArea>
    </format>
    <format dxfId="53">
      <pivotArea dataOnly="0" labelOnly="1" fieldPosition="0">
        <references count="4">
          <reference field="3" count="1" selected="0">
            <x v="11"/>
          </reference>
          <reference field="4" count="1" selected="0">
            <x v="27"/>
          </reference>
          <reference field="5" count="1" selected="0">
            <x v="64"/>
          </reference>
          <reference field="7" count="1">
            <x v="1"/>
          </reference>
        </references>
      </pivotArea>
    </format>
    <format dxfId="52">
      <pivotArea dataOnly="0" labelOnly="1" fieldPosition="0">
        <references count="4">
          <reference field="3" count="1" selected="0">
            <x v="13"/>
          </reference>
          <reference field="4" count="1" selected="0">
            <x v="27"/>
          </reference>
          <reference field="5" count="1" selected="0">
            <x v="64"/>
          </reference>
          <reference field="7" count="1">
            <x v="1"/>
          </reference>
        </references>
      </pivotArea>
    </format>
    <format dxfId="51">
      <pivotArea dataOnly="0" labelOnly="1" fieldPosition="0">
        <references count="4">
          <reference field="3" count="1" selected="0">
            <x v="21"/>
          </reference>
          <reference field="4" count="1" selected="0">
            <x v="28"/>
          </reference>
          <reference field="5" count="1" selected="0">
            <x v="16"/>
          </reference>
          <reference field="7" count="1">
            <x v="2"/>
          </reference>
        </references>
      </pivotArea>
    </format>
    <format dxfId="50">
      <pivotArea dataOnly="0" labelOnly="1" fieldPosition="0">
        <references count="4">
          <reference field="3" count="1" selected="0">
            <x v="25"/>
          </reference>
          <reference field="4" count="1" selected="0">
            <x v="29"/>
          </reference>
          <reference field="5" count="1" selected="0">
            <x v="13"/>
          </reference>
          <reference field="7" count="1">
            <x v="2"/>
          </reference>
        </references>
      </pivotArea>
    </format>
    <format dxfId="49">
      <pivotArea dataOnly="0" labelOnly="1" fieldPosition="0">
        <references count="4">
          <reference field="3" count="1" selected="0">
            <x v="27"/>
          </reference>
          <reference field="4" count="1" selected="0">
            <x v="29"/>
          </reference>
          <reference field="5" count="1" selected="0">
            <x v="13"/>
          </reference>
          <reference field="7" count="1">
            <x v="2"/>
          </reference>
        </references>
      </pivotArea>
    </format>
    <format dxfId="48">
      <pivotArea dataOnly="0" labelOnly="1" fieldPosition="0">
        <references count="4">
          <reference field="3" count="1" selected="0">
            <x v="30"/>
          </reference>
          <reference field="4" count="1" selected="0">
            <x v="30"/>
          </reference>
          <reference field="5" count="1" selected="0">
            <x v="14"/>
          </reference>
          <reference field="7" count="1">
            <x v="2"/>
          </reference>
        </references>
      </pivotArea>
    </format>
    <format dxfId="47">
      <pivotArea dataOnly="0" labelOnly="1" fieldPosition="0">
        <references count="4">
          <reference field="3" count="1" selected="0">
            <x v="35"/>
          </reference>
          <reference field="4" count="1" selected="0">
            <x v="31"/>
          </reference>
          <reference field="5" count="1" selected="0">
            <x v="15"/>
          </reference>
          <reference field="7" count="1">
            <x v="2"/>
          </reference>
        </references>
      </pivotArea>
    </format>
    <format dxfId="46">
      <pivotArea dataOnly="0" labelOnly="1" fieldPosition="0">
        <references count="4">
          <reference field="3" count="1" selected="0">
            <x v="38"/>
          </reference>
          <reference field="4" count="1" selected="0">
            <x v="32"/>
          </reference>
          <reference field="5" count="1" selected="0">
            <x v="10"/>
          </reference>
          <reference field="7" count="1">
            <x v="2"/>
          </reference>
        </references>
      </pivotArea>
    </format>
    <format dxfId="45">
      <pivotArea dataOnly="0" labelOnly="1" fieldPosition="0">
        <references count="4">
          <reference field="3" count="1" selected="0">
            <x v="41"/>
          </reference>
          <reference field="4" count="1" selected="0">
            <x v="33"/>
          </reference>
          <reference field="5" count="1" selected="0">
            <x v="11"/>
          </reference>
          <reference field="7" count="1">
            <x v="2"/>
          </reference>
        </references>
      </pivotArea>
    </format>
    <format dxfId="44">
      <pivotArea dataOnly="0" labelOnly="1" fieldPosition="0">
        <references count="4">
          <reference field="3" count="1" selected="0">
            <x v="25"/>
          </reference>
          <reference field="4" count="1" selected="0">
            <x v="34"/>
          </reference>
          <reference field="5" count="1" selected="0">
            <x v="13"/>
          </reference>
          <reference field="7" count="1">
            <x v="2"/>
          </reference>
        </references>
      </pivotArea>
    </format>
    <format dxfId="43">
      <pivotArea dataOnly="0" labelOnly="1" fieldPosition="0">
        <references count="4">
          <reference field="3" count="1" selected="0">
            <x v="29"/>
          </reference>
          <reference field="4" count="1" selected="0">
            <x v="34"/>
          </reference>
          <reference field="5" count="1" selected="0">
            <x v="14"/>
          </reference>
          <reference field="7" count="1">
            <x v="2"/>
          </reference>
        </references>
      </pivotArea>
    </format>
    <format dxfId="42">
      <pivotArea dataOnly="0" labelOnly="1" fieldPosition="0">
        <references count="4">
          <reference field="3" count="1" selected="0">
            <x v="30"/>
          </reference>
          <reference field="4" count="1" selected="0">
            <x v="34"/>
          </reference>
          <reference field="5" count="1" selected="0">
            <x v="14"/>
          </reference>
          <reference field="7" count="1">
            <x v="2"/>
          </reference>
        </references>
      </pivotArea>
    </format>
    <format dxfId="41">
      <pivotArea dataOnly="0" labelOnly="1" fieldPosition="0">
        <references count="4">
          <reference field="3" count="1" selected="0">
            <x v="35"/>
          </reference>
          <reference field="4" count="1" selected="0">
            <x v="34"/>
          </reference>
          <reference field="5" count="1" selected="0">
            <x v="15"/>
          </reference>
          <reference field="7" count="1">
            <x v="2"/>
          </reference>
        </references>
      </pivotArea>
    </format>
    <format dxfId="40">
      <pivotArea dataOnly="0" labelOnly="1" fieldPosition="0">
        <references count="4">
          <reference field="3" count="1" selected="0">
            <x v="37"/>
          </reference>
          <reference field="4" count="1" selected="0">
            <x v="34"/>
          </reference>
          <reference field="5" count="1" selected="0">
            <x v="10"/>
          </reference>
          <reference field="7" count="1">
            <x v="2"/>
          </reference>
        </references>
      </pivotArea>
    </format>
    <format dxfId="39">
      <pivotArea dataOnly="0" labelOnly="1" fieldPosition="0">
        <references count="4">
          <reference field="3" count="1" selected="0">
            <x v="41"/>
          </reference>
          <reference field="4" count="1" selected="0">
            <x v="34"/>
          </reference>
          <reference field="5" count="1" selected="0">
            <x v="11"/>
          </reference>
          <reference field="7" count="1">
            <x v="2"/>
          </reference>
        </references>
      </pivotArea>
    </format>
    <format dxfId="38">
      <pivotArea dataOnly="0" labelOnly="1" fieldPosition="0">
        <references count="4">
          <reference field="3" count="1" selected="0">
            <x v="41"/>
          </reference>
          <reference field="4" count="1" selected="0">
            <x v="34"/>
          </reference>
          <reference field="5" count="1" selected="0">
            <x v="12"/>
          </reference>
          <reference field="7" count="1">
            <x v="2"/>
          </reference>
        </references>
      </pivotArea>
    </format>
    <format dxfId="37">
      <pivotArea dataOnly="0" labelOnly="1" fieldPosition="0">
        <references count="4">
          <reference field="3" count="1" selected="0">
            <x v="10"/>
          </reference>
          <reference field="4" count="1" selected="0">
            <x v="35"/>
          </reference>
          <reference field="5" count="1" selected="0">
            <x v="53"/>
          </reference>
          <reference field="7" count="1">
            <x v="0"/>
          </reference>
        </references>
      </pivotArea>
    </format>
    <format dxfId="36">
      <pivotArea dataOnly="0" labelOnly="1" fieldPosition="0">
        <references count="4">
          <reference field="3" count="1" selected="0">
            <x v="10"/>
          </reference>
          <reference field="4" count="1" selected="0">
            <x v="36"/>
          </reference>
          <reference field="5" count="1" selected="0">
            <x v="34"/>
          </reference>
          <reference field="7" count="1">
            <x v="0"/>
          </reference>
        </references>
      </pivotArea>
    </format>
    <format dxfId="35">
      <pivotArea dataOnly="0" labelOnly="1" fieldPosition="0">
        <references count="4">
          <reference field="3" count="1" selected="0">
            <x v="10"/>
          </reference>
          <reference field="4" count="1" selected="0">
            <x v="37"/>
          </reference>
          <reference field="5" count="1" selected="0">
            <x v="35"/>
          </reference>
          <reference field="7" count="1">
            <x v="0"/>
          </reference>
        </references>
      </pivotArea>
    </format>
    <format dxfId="34">
      <pivotArea dataOnly="0" labelOnly="1" fieldPosition="0">
        <references count="4">
          <reference field="3" count="1" selected="0">
            <x v="10"/>
          </reference>
          <reference field="4" count="1" selected="0">
            <x v="37"/>
          </reference>
          <reference field="5" count="1" selected="0">
            <x v="52"/>
          </reference>
          <reference field="7" count="1">
            <x v="0"/>
          </reference>
        </references>
      </pivotArea>
    </format>
    <format dxfId="33">
      <pivotArea dataOnly="0" labelOnly="1" fieldPosition="0">
        <references count="4">
          <reference field="3" count="1" selected="0">
            <x v="45"/>
          </reference>
          <reference field="4" count="1" selected="0">
            <x v="38"/>
          </reference>
          <reference field="5" count="1" selected="0">
            <x v="54"/>
          </reference>
          <reference field="7" count="1">
            <x v="0"/>
          </reference>
        </references>
      </pivotArea>
    </format>
    <format dxfId="32">
      <pivotArea dataOnly="0" labelOnly="1" fieldPosition="0">
        <references count="4">
          <reference field="3" count="1" selected="0">
            <x v="47"/>
          </reference>
          <reference field="4" count="1" selected="0">
            <x v="39"/>
          </reference>
          <reference field="5" count="1" selected="0">
            <x v="55"/>
          </reference>
          <reference field="7" count="1">
            <x v="0"/>
          </reference>
        </references>
      </pivotArea>
    </format>
    <format dxfId="31">
      <pivotArea dataOnly="0" labelOnly="1" fieldPosition="0">
        <references count="4">
          <reference field="3" count="1" selected="0">
            <x v="10"/>
          </reference>
          <reference field="4" count="1" selected="0">
            <x v="40"/>
          </reference>
          <reference field="5" count="1" selected="0">
            <x v="49"/>
          </reference>
          <reference field="7" count="1">
            <x v="0"/>
          </reference>
        </references>
      </pivotArea>
    </format>
    <format dxfId="30">
      <pivotArea dataOnly="0" labelOnly="1" fieldPosition="0">
        <references count="4">
          <reference field="3" count="1" selected="0">
            <x v="10"/>
          </reference>
          <reference field="4" count="1" selected="0">
            <x v="40"/>
          </reference>
          <reference field="5" count="1" selected="0">
            <x v="58"/>
          </reference>
          <reference field="7" count="1">
            <x v="0"/>
          </reference>
        </references>
      </pivotArea>
    </format>
    <format dxfId="29">
      <pivotArea dataOnly="0" labelOnly="1" fieldPosition="0">
        <references count="4">
          <reference field="3" count="1" selected="0">
            <x v="10"/>
          </reference>
          <reference field="4" count="1" selected="0">
            <x v="41"/>
          </reference>
          <reference field="5" count="1" selected="0">
            <x v="50"/>
          </reference>
          <reference field="7" count="1">
            <x v="0"/>
          </reference>
        </references>
      </pivotArea>
    </format>
    <format dxfId="28">
      <pivotArea dataOnly="0" labelOnly="1" fieldPosition="0">
        <references count="4">
          <reference field="3" count="1" selected="0">
            <x v="16"/>
          </reference>
          <reference field="4" count="1" selected="0">
            <x v="42"/>
          </reference>
          <reference field="5" count="1" selected="0">
            <x v="17"/>
          </reference>
          <reference field="7" count="1">
            <x v="2"/>
          </reference>
        </references>
      </pivotArea>
    </format>
    <format dxfId="27">
      <pivotArea dataOnly="0" labelOnly="1" fieldPosition="0">
        <references count="4">
          <reference field="3" count="1" selected="0">
            <x v="5"/>
          </reference>
          <reference field="4" count="1" selected="0">
            <x v="43"/>
          </reference>
          <reference field="5" count="1" selected="0">
            <x v="23"/>
          </reference>
          <reference field="7" count="1">
            <x v="2"/>
          </reference>
        </references>
      </pivotArea>
    </format>
    <format dxfId="26">
      <pivotArea dataOnly="0" labelOnly="1" fieldPosition="0">
        <references count="4">
          <reference field="3" count="1" selected="0">
            <x v="7"/>
          </reference>
          <reference field="4" count="1" selected="0">
            <x v="44"/>
          </reference>
          <reference field="5" count="1" selected="0">
            <x v="19"/>
          </reference>
          <reference field="7" count="1">
            <x v="2"/>
          </reference>
        </references>
      </pivotArea>
    </format>
    <format dxfId="25">
      <pivotArea dataOnly="0" labelOnly="1" fieldPosition="0">
        <references count="4">
          <reference field="3" count="1" selected="0">
            <x v="15"/>
          </reference>
          <reference field="4" count="1" selected="0">
            <x v="45"/>
          </reference>
          <reference field="5" count="1" selected="0">
            <x v="18"/>
          </reference>
          <reference field="7" count="1">
            <x v="2"/>
          </reference>
        </references>
      </pivotArea>
    </format>
    <format dxfId="24">
      <pivotArea dataOnly="0" labelOnly="1" fieldPosition="0">
        <references count="4">
          <reference field="3" count="1" selected="0">
            <x v="17"/>
          </reference>
          <reference field="4" count="1" selected="0">
            <x v="45"/>
          </reference>
          <reference field="5" count="1" selected="0">
            <x v="18"/>
          </reference>
          <reference field="7" count="1">
            <x v="2"/>
          </reference>
        </references>
      </pivotArea>
    </format>
    <format dxfId="23">
      <pivotArea dataOnly="0" labelOnly="1" fieldPosition="0">
        <references count="4">
          <reference field="3" count="1" selected="0">
            <x v="9"/>
          </reference>
          <reference field="4" count="1" selected="0">
            <x v="46"/>
          </reference>
          <reference field="5" count="1" selected="0">
            <x v="20"/>
          </reference>
          <reference field="7" count="1">
            <x v="2"/>
          </reference>
        </references>
      </pivotArea>
    </format>
    <format dxfId="22">
      <pivotArea dataOnly="0" labelOnly="1" fieldPosition="0">
        <references count="4">
          <reference field="3" count="1" selected="0">
            <x v="4"/>
          </reference>
          <reference field="4" count="1" selected="0">
            <x v="47"/>
          </reference>
          <reference field="5" count="1" selected="0">
            <x v="23"/>
          </reference>
          <reference field="7" count="1">
            <x v="2"/>
          </reference>
        </references>
      </pivotArea>
    </format>
    <format dxfId="21">
      <pivotArea dataOnly="0" labelOnly="1" fieldPosition="0">
        <references count="4">
          <reference field="3" count="1" selected="0">
            <x v="4"/>
          </reference>
          <reference field="4" count="1" selected="0">
            <x v="47"/>
          </reference>
          <reference field="5" count="1" selected="0">
            <x v="24"/>
          </reference>
          <reference field="7" count="1">
            <x v="2"/>
          </reference>
        </references>
      </pivotArea>
    </format>
    <format dxfId="20">
      <pivotArea dataOnly="0" labelOnly="1" fieldPosition="0">
        <references count="4">
          <reference field="3" count="1" selected="0">
            <x v="6"/>
          </reference>
          <reference field="4" count="1" selected="0">
            <x v="48"/>
          </reference>
          <reference field="5" count="1" selected="0">
            <x v="19"/>
          </reference>
          <reference field="7" count="1">
            <x v="2"/>
          </reference>
        </references>
      </pivotArea>
    </format>
    <format dxfId="19">
      <pivotArea dataOnly="0" labelOnly="1" fieldPosition="0">
        <references count="4">
          <reference field="3" count="1" selected="0">
            <x v="6"/>
          </reference>
          <reference field="4" count="1" selected="0">
            <x v="48"/>
          </reference>
          <reference field="5" count="1" selected="0">
            <x v="25"/>
          </reference>
          <reference field="7" count="1">
            <x v="2"/>
          </reference>
        </references>
      </pivotArea>
    </format>
    <format dxfId="18">
      <pivotArea dataOnly="0" labelOnly="1" fieldPosition="0">
        <references count="4">
          <reference field="3" count="1" selected="0">
            <x v="8"/>
          </reference>
          <reference field="4" count="1" selected="0">
            <x v="49"/>
          </reference>
          <reference field="5" count="1" selected="0">
            <x v="26"/>
          </reference>
          <reference field="7" count="1">
            <x v="2"/>
          </reference>
        </references>
      </pivotArea>
    </format>
    <format dxfId="17">
      <pivotArea dataOnly="0" labelOnly="1" fieldPosition="0">
        <references count="4">
          <reference field="3" count="1" selected="0">
            <x v="14"/>
          </reference>
          <reference field="4" count="1" selected="0">
            <x v="50"/>
          </reference>
          <reference field="5" count="1" selected="0">
            <x v="21"/>
          </reference>
          <reference field="7" count="1">
            <x v="2"/>
          </reference>
        </references>
      </pivotArea>
    </format>
    <format dxfId="16">
      <pivotArea dataOnly="0" labelOnly="1" fieldPosition="0">
        <references count="4">
          <reference field="3" count="1" selected="0">
            <x v="14"/>
          </reference>
          <reference field="4" count="1" selected="0">
            <x v="50"/>
          </reference>
          <reference field="5" count="1" selected="0">
            <x v="22"/>
          </reference>
          <reference field="7" count="1">
            <x v="2"/>
          </reference>
        </references>
      </pivotArea>
    </format>
    <format dxfId="15">
      <pivotArea dataOnly="0" labelOnly="1" fieldPosition="0">
        <references count="4">
          <reference field="3" count="1" selected="0">
            <x v="18"/>
          </reference>
          <reference field="4" count="1" selected="0">
            <x v="51"/>
          </reference>
          <reference field="5" count="1" selected="0">
            <x v="39"/>
          </reference>
          <reference field="7" count="1">
            <x v="0"/>
          </reference>
        </references>
      </pivotArea>
    </format>
    <format dxfId="14">
      <pivotArea dataOnly="0" labelOnly="1" fieldPosition="0">
        <references count="4">
          <reference field="3" count="1" selected="0">
            <x v="18"/>
          </reference>
          <reference field="4" count="1" selected="0">
            <x v="51"/>
          </reference>
          <reference field="5" count="1" selected="0">
            <x v="47"/>
          </reference>
          <reference field="7" count="1">
            <x v="0"/>
          </reference>
        </references>
      </pivotArea>
    </format>
    <format dxfId="13">
      <pivotArea dataOnly="0" labelOnly="1" fieldPosition="0">
        <references count="4">
          <reference field="3" count="1" selected="0">
            <x v="47"/>
          </reference>
          <reference field="4" count="1" selected="0">
            <x v="52"/>
          </reference>
          <reference field="5" count="1" selected="0">
            <x v="40"/>
          </reference>
          <reference field="7" count="1">
            <x v="0"/>
          </reference>
        </references>
      </pivotArea>
    </format>
    <format dxfId="12">
      <pivotArea dataOnly="0" labelOnly="1" fieldPosition="0">
        <references count="4">
          <reference field="3" count="1" selected="0">
            <x v="47"/>
          </reference>
          <reference field="4" count="1" selected="0">
            <x v="53"/>
          </reference>
          <reference field="5" count="1" selected="0">
            <x v="41"/>
          </reference>
          <reference field="7" count="1">
            <x v="0"/>
          </reference>
        </references>
      </pivotArea>
    </format>
    <format dxfId="11">
      <pivotArea dataOnly="0" labelOnly="1" fieldPosition="0">
        <references count="4">
          <reference field="3" count="1" selected="0">
            <x v="47"/>
          </reference>
          <reference field="4" count="1" selected="0">
            <x v="53"/>
          </reference>
          <reference field="5" count="1" selected="0">
            <x v="42"/>
          </reference>
          <reference field="7" count="1">
            <x v="0"/>
          </reference>
        </references>
      </pivotArea>
    </format>
    <format dxfId="10">
      <pivotArea dataOnly="0" labelOnly="1" fieldPosition="0">
        <references count="4">
          <reference field="3" count="1" selected="0">
            <x v="47"/>
          </reference>
          <reference field="4" count="1" selected="0">
            <x v="54"/>
          </reference>
          <reference field="5" count="1" selected="0">
            <x v="44"/>
          </reference>
          <reference field="7" count="1">
            <x v="0"/>
          </reference>
        </references>
      </pivotArea>
    </format>
    <format dxfId="9">
      <pivotArea dataOnly="0" labelOnly="1" fieldPosition="0">
        <references count="4">
          <reference field="3" count="1" selected="0">
            <x v="47"/>
          </reference>
          <reference field="4" count="1" selected="0">
            <x v="55"/>
          </reference>
          <reference field="5" count="1" selected="0">
            <x v="45"/>
          </reference>
          <reference field="7" count="1">
            <x v="0"/>
          </reference>
        </references>
      </pivotArea>
    </format>
    <format dxfId="8">
      <pivotArea dataOnly="0" labelOnly="1" fieldPosition="0">
        <references count="4">
          <reference field="3" count="1" selected="0">
            <x v="47"/>
          </reference>
          <reference field="4" count="1" selected="0">
            <x v="56"/>
          </reference>
          <reference field="5" count="1" selected="0">
            <x v="43"/>
          </reference>
          <reference field="7" count="2">
            <x v="0"/>
            <x v="2"/>
          </reference>
        </references>
      </pivotArea>
    </format>
    <format dxfId="7">
      <pivotArea dataOnly="0" labelOnly="1" fieldPosition="0">
        <references count="4">
          <reference field="3" count="1" selected="0">
            <x v="20"/>
          </reference>
          <reference field="4" count="1" selected="0">
            <x v="57"/>
          </reference>
          <reference field="5" count="1" selected="0">
            <x v="46"/>
          </reference>
          <reference field="7" count="2">
            <x v="0"/>
            <x v="2"/>
          </reference>
        </references>
      </pivotArea>
    </format>
    <format dxfId="6">
      <pivotArea dataOnly="0" labelOnly="1" fieldPosition="0">
        <references count="4">
          <reference field="3" count="1" selected="0">
            <x v="20"/>
          </reference>
          <reference field="4" count="1" selected="0">
            <x v="58"/>
          </reference>
          <reference field="5" count="1" selected="0">
            <x v="47"/>
          </reference>
          <reference field="7" count="1">
            <x v="0"/>
          </reference>
        </references>
      </pivotArea>
    </format>
    <format dxfId="5">
      <pivotArea dataOnly="0" labelOnly="1" fieldPosition="0">
        <references count="4">
          <reference field="3" count="1" selected="0">
            <x v="48"/>
          </reference>
          <reference field="4" count="1" selected="0">
            <x v="59"/>
          </reference>
          <reference field="5" count="1" selected="0">
            <x v="48"/>
          </reference>
          <reference field="7" count="1">
            <x v="2"/>
          </reference>
        </references>
      </pivotArea>
    </format>
    <format dxfId="4">
      <pivotArea dataOnly="0" labelOnly="1" outline="0" axis="axisValues" fieldPosition="0"/>
    </format>
    <format dxfId="3">
      <pivotArea outline="0" collapsedLevelsAreSubtotals="1" fieldPosition="0"/>
    </format>
    <format dxfId="2">
      <pivotArea outline="0" collapsedLevelsAreSubtotals="1" fieldPosition="0"/>
    </format>
    <format dxfId="1">
      <pivotArea outline="0" collapsedLevelsAreSubtotals="1" fieldPosition="0"/>
    </format>
    <format dxfId="0">
      <pivotArea outline="0" collapsedLevelsAreSubtotals="1" fieldPosition="0"/>
    </format>
  </formats>
  <pivotTableStyleInfo name="PivotStyleMedium9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1.bin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Z241"/>
  <sheetViews>
    <sheetView tabSelected="1" view="pageLayout" topLeftCell="A187" zoomScaleNormal="100" workbookViewId="0">
      <selection activeCell="H193" sqref="H193"/>
    </sheetView>
  </sheetViews>
  <sheetFormatPr defaultColWidth="9" defaultRowHeight="12" x14ac:dyDescent="0.2"/>
  <cols>
    <col min="1" max="1" width="3.85546875" style="1" bestFit="1" customWidth="1"/>
    <col min="2" max="2" width="9.5703125" style="1" bestFit="1" customWidth="1"/>
    <col min="3" max="3" width="18.42578125" style="1" bestFit="1" customWidth="1"/>
    <col min="4" max="4" width="22.7109375" style="1" bestFit="1" customWidth="1"/>
    <col min="5" max="5" width="15.5703125" style="1" bestFit="1" customWidth="1"/>
    <col min="6" max="6" width="9.85546875" style="1" bestFit="1" customWidth="1"/>
    <col min="7" max="7" width="9" style="1" bestFit="1" customWidth="1"/>
    <col min="8" max="8" width="11.42578125" style="1" bestFit="1" customWidth="1"/>
    <col min="9" max="9" width="7.5703125" style="1" bestFit="1" customWidth="1"/>
    <col min="10" max="10" width="5.28515625" style="1" bestFit="1" customWidth="1"/>
    <col min="11" max="11" width="4" style="1" bestFit="1" customWidth="1"/>
    <col min="12" max="12" width="10.85546875" style="1" customWidth="1"/>
    <col min="13" max="13" width="6.42578125" style="1" customWidth="1"/>
    <col min="14" max="14" width="6.7109375" style="1" bestFit="1" customWidth="1"/>
    <col min="15" max="15" width="6.7109375" style="644" customWidth="1"/>
    <col min="16" max="16" width="5" style="1" customWidth="1"/>
    <col min="17" max="17" width="3.5703125" style="1" bestFit="1" customWidth="1"/>
    <col min="18" max="18" width="10" style="1" bestFit="1" customWidth="1"/>
    <col min="19" max="19" width="7.42578125" style="1" bestFit="1" customWidth="1"/>
    <col min="20" max="20" width="5.5703125" style="607" bestFit="1" customWidth="1"/>
    <col min="21" max="21" width="16.28515625" style="1" bestFit="1" customWidth="1"/>
    <col min="22" max="22" width="7.42578125" style="326" bestFit="1" customWidth="1"/>
    <col min="23" max="23" width="3.5703125" style="607" bestFit="1" customWidth="1"/>
    <col min="24" max="24" width="8" style="1" bestFit="1" customWidth="1"/>
    <col min="25" max="25" width="22" style="1" bestFit="1" customWidth="1"/>
    <col min="26" max="26" width="13.5703125" style="326" bestFit="1" customWidth="1"/>
    <col min="27" max="27" width="7.28515625" style="1" bestFit="1" customWidth="1"/>
    <col min="28" max="28" width="8.140625" style="325" bestFit="1" customWidth="1"/>
    <col min="29" max="29" width="6.7109375" style="325" bestFit="1" customWidth="1"/>
    <col min="30" max="30" width="7.42578125" style="1" customWidth="1"/>
    <col min="31" max="31" width="8" style="1" bestFit="1" customWidth="1"/>
    <col min="32" max="32" width="18.28515625" style="1" bestFit="1" customWidth="1"/>
    <col min="33" max="33" width="14" style="1" bestFit="1" customWidth="1"/>
    <col min="34" max="34" width="26.7109375" style="1" bestFit="1" customWidth="1"/>
    <col min="35" max="35" width="23.140625" style="326" customWidth="1"/>
    <col min="36" max="36" width="12.140625" style="830" bestFit="1" customWidth="1"/>
    <col min="37" max="37" width="8.28515625" style="914" bestFit="1" customWidth="1"/>
    <col min="38" max="38" width="8" style="1" bestFit="1" customWidth="1"/>
    <col min="39" max="39" width="11.42578125" style="918" bestFit="1" customWidth="1"/>
    <col min="40" max="40" width="7.42578125" style="1" customWidth="1"/>
    <col min="41" max="41" width="7" style="1" customWidth="1"/>
    <col min="42" max="42" width="36.5703125" style="1" customWidth="1"/>
    <col min="43" max="43" width="36.28515625" style="1" customWidth="1"/>
    <col min="44" max="44" width="15.85546875" style="1" customWidth="1"/>
    <col min="45" max="45" width="10.7109375" style="1" customWidth="1"/>
    <col min="46" max="46" width="14.28515625" style="1" customWidth="1"/>
    <col min="47" max="47" width="18.85546875" style="1" customWidth="1"/>
    <col min="48" max="48" width="4.7109375" style="1" customWidth="1"/>
    <col min="49" max="49" width="15" style="1" bestFit="1" customWidth="1"/>
    <col min="50" max="50" width="19" style="1" customWidth="1"/>
    <col min="51" max="51" width="26.28515625" style="1" customWidth="1"/>
    <col min="52" max="52" width="31" style="1" customWidth="1"/>
    <col min="53" max="53" width="23.28515625" style="1" bestFit="1" customWidth="1"/>
    <col min="54" max="55" width="21.140625" style="1" customWidth="1"/>
    <col min="56" max="56" width="4.140625" style="1112" bestFit="1" customWidth="1"/>
    <col min="57" max="57" width="4.140625" style="1112" customWidth="1"/>
    <col min="58" max="58" width="9.5703125" style="1" bestFit="1" customWidth="1"/>
    <col min="59" max="59" width="11.5703125" style="1" bestFit="1" customWidth="1"/>
    <col min="60" max="60" width="5.7109375" style="1" bestFit="1" customWidth="1"/>
    <col min="61" max="61" width="6" style="1" bestFit="1" customWidth="1"/>
    <col min="62" max="62" width="14.28515625" style="1" bestFit="1" customWidth="1"/>
    <col min="63" max="63" width="24" style="1" bestFit="1" customWidth="1"/>
    <col min="64" max="64" width="9" style="1"/>
    <col min="65" max="65" width="20.42578125" style="1" customWidth="1"/>
    <col min="66" max="66" width="18.28515625" style="1" customWidth="1"/>
    <col min="67" max="67" width="34.7109375" style="1" bestFit="1" customWidth="1"/>
    <col min="68" max="68" width="34.28515625" style="1" bestFit="1" customWidth="1"/>
    <col min="69" max="69" width="4.7109375" style="1" bestFit="1" customWidth="1"/>
    <col min="70" max="70" width="14.140625" style="1" bestFit="1" customWidth="1"/>
    <col min="71" max="71" width="12" style="1" bestFit="1" customWidth="1"/>
    <col min="72" max="72" width="14.28515625" style="1" bestFit="1" customWidth="1"/>
    <col min="73" max="73" width="8.140625" style="1" customWidth="1"/>
    <col min="74" max="74" width="11.7109375" style="1" bestFit="1" customWidth="1"/>
    <col min="75" max="75" width="11.42578125" style="1" bestFit="1" customWidth="1"/>
    <col min="76" max="76" width="21.42578125" style="1" bestFit="1" customWidth="1"/>
    <col min="77" max="77" width="11" style="1" bestFit="1" customWidth="1"/>
    <col min="78" max="79" width="11.42578125" style="1" bestFit="1" customWidth="1"/>
    <col min="80" max="81" width="11.140625" style="1" bestFit="1" customWidth="1"/>
    <col min="82" max="82" width="10.42578125" style="1" bestFit="1" customWidth="1"/>
    <col min="83" max="84" width="14.85546875" style="1" bestFit="1" customWidth="1"/>
    <col min="85" max="85" width="11" style="1" bestFit="1" customWidth="1"/>
    <col min="86" max="86" width="10.5703125" style="1" bestFit="1" customWidth="1"/>
    <col min="87" max="87" width="10.28515625" style="1" bestFit="1" customWidth="1"/>
    <col min="88" max="88" width="20.140625" style="1" bestFit="1" customWidth="1"/>
    <col min="89" max="89" width="14" style="1" bestFit="1" customWidth="1"/>
    <col min="90" max="90" width="10.42578125" style="1" bestFit="1" customWidth="1"/>
    <col min="91" max="91" width="14.5703125" style="1" bestFit="1" customWidth="1"/>
    <col min="92" max="92" width="14.28515625" style="1" bestFit="1" customWidth="1"/>
    <col min="93" max="93" width="24" style="1" bestFit="1" customWidth="1"/>
    <col min="94" max="94" width="9" style="1"/>
    <col min="95" max="95" width="11" style="1" bestFit="1" customWidth="1"/>
    <col min="96" max="96" width="12.7109375" style="1" bestFit="1" customWidth="1"/>
    <col min="97" max="97" width="11.42578125" style="1" bestFit="1" customWidth="1"/>
    <col min="98" max="98" width="11.140625" style="1" bestFit="1" customWidth="1"/>
    <col min="99" max="99" width="14.85546875" style="1" bestFit="1" customWidth="1"/>
    <col min="100" max="100" width="12" style="1" bestFit="1" customWidth="1"/>
    <col min="101" max="101" width="10.42578125" style="1" bestFit="1" customWidth="1"/>
    <col min="102" max="102" width="9" style="1"/>
    <col min="103" max="103" width="19.7109375" style="1" bestFit="1" customWidth="1"/>
    <col min="104" max="104" width="19.28515625" style="1" bestFit="1" customWidth="1"/>
    <col min="105" max="16384" width="9" style="1"/>
  </cols>
  <sheetData>
    <row r="1" spans="1:104" s="7" customFormat="1" ht="12.75" thickBot="1" x14ac:dyDescent="0.25">
      <c r="A1" s="6"/>
      <c r="B1" s="6"/>
      <c r="C1" s="6"/>
      <c r="D1" s="106" t="s">
        <v>117</v>
      </c>
      <c r="E1" s="112">
        <v>2000</v>
      </c>
      <c r="F1" s="113" t="s">
        <v>6</v>
      </c>
      <c r="G1" s="6"/>
      <c r="H1" s="1209"/>
      <c r="I1" s="1209"/>
      <c r="J1" s="242"/>
      <c r="K1" s="243"/>
      <c r="N1" s="6"/>
      <c r="O1" s="639"/>
      <c r="Q1" s="34"/>
      <c r="R1" s="8"/>
      <c r="S1" s="8"/>
      <c r="T1" s="34"/>
      <c r="U1" s="9"/>
      <c r="V1" s="9"/>
      <c r="W1" s="34"/>
      <c r="X1" s="35"/>
      <c r="Y1" s="9"/>
      <c r="Z1" s="9"/>
      <c r="AA1" s="9"/>
      <c r="AB1" s="9"/>
      <c r="AC1" s="696"/>
      <c r="AD1" s="10"/>
      <c r="AE1" s="10"/>
      <c r="AF1" s="10"/>
      <c r="AG1" s="9"/>
      <c r="AH1" s="9"/>
      <c r="AI1" s="10"/>
      <c r="AJ1" s="817"/>
      <c r="AK1" s="913"/>
      <c r="AL1" s="9"/>
      <c r="AM1" s="917"/>
      <c r="AN1" s="10"/>
      <c r="AP1" s="1133"/>
      <c r="AQ1" s="1133"/>
      <c r="AR1" s="1133"/>
      <c r="AS1" s="1133"/>
      <c r="AT1" s="1133"/>
      <c r="AV1" s="48"/>
      <c r="AW1" s="48"/>
      <c r="AX1" s="48"/>
      <c r="AY1" s="48"/>
      <c r="AZ1" s="48"/>
      <c r="BA1" s="48"/>
      <c r="BD1" s="1111"/>
      <c r="BE1" s="1111"/>
      <c r="BO1" s="51"/>
      <c r="BP1" s="51"/>
      <c r="BQ1" s="51"/>
      <c r="BR1" s="51"/>
      <c r="BS1" s="51" t="s">
        <v>96</v>
      </c>
    </row>
    <row r="2" spans="1:104" s="7" customFormat="1" ht="15.75" thickBot="1" x14ac:dyDescent="0.25">
      <c r="A2" s="6"/>
      <c r="B2" s="6"/>
      <c r="C2" s="6"/>
      <c r="D2" s="3" t="s">
        <v>118</v>
      </c>
      <c r="E2" s="4">
        <v>5100</v>
      </c>
      <c r="F2" s="5" t="s">
        <v>6</v>
      </c>
      <c r="G2" s="6"/>
      <c r="H2" s="1209"/>
      <c r="I2" s="1209"/>
      <c r="J2" s="242"/>
      <c r="K2" s="243"/>
      <c r="N2" s="6"/>
      <c r="O2" s="639"/>
      <c r="Q2" s="34"/>
      <c r="R2" s="8"/>
      <c r="S2" s="8"/>
      <c r="T2" s="34"/>
      <c r="U2" s="9"/>
      <c r="V2" s="9"/>
      <c r="W2" s="34"/>
      <c r="X2" s="35"/>
      <c r="Y2" s="58" t="s">
        <v>94</v>
      </c>
      <c r="Z2" s="9"/>
      <c r="AA2" s="9"/>
      <c r="AB2" s="9"/>
      <c r="AC2" s="696"/>
      <c r="AD2" s="10"/>
      <c r="AE2" s="10"/>
      <c r="AF2" s="10"/>
      <c r="AG2" s="9"/>
      <c r="AH2" s="9"/>
      <c r="AI2" s="57" t="s">
        <v>95</v>
      </c>
      <c r="AJ2" s="817"/>
      <c r="AK2" s="913"/>
      <c r="AL2" s="9"/>
      <c r="AM2" s="917"/>
      <c r="AN2" s="10"/>
      <c r="AP2" s="1134"/>
      <c r="AQ2" s="1134"/>
      <c r="AR2" s="1133"/>
      <c r="AS2" s="1133"/>
      <c r="AT2" s="1133"/>
      <c r="AV2" s="49"/>
      <c r="AW2" s="49"/>
      <c r="AX2" s="49"/>
      <c r="AY2" s="49"/>
      <c r="AZ2" s="49"/>
      <c r="BA2" s="49"/>
      <c r="BD2" s="1111"/>
      <c r="BE2" s="1111"/>
      <c r="BO2" s="50"/>
      <c r="BP2" s="50"/>
      <c r="BQ2" s="50"/>
      <c r="BR2" s="50" t="s">
        <v>99</v>
      </c>
      <c r="BS2" s="50" t="s">
        <v>98</v>
      </c>
    </row>
    <row r="3" spans="1:104" ht="15.75" thickBot="1" x14ac:dyDescent="0.25">
      <c r="A3" s="2"/>
      <c r="B3" s="2"/>
      <c r="C3" s="2"/>
      <c r="D3" s="107"/>
      <c r="E3" s="108"/>
      <c r="F3" s="109"/>
      <c r="G3" s="2"/>
      <c r="H3" s="1209"/>
      <c r="I3" s="1209"/>
      <c r="J3" s="242"/>
      <c r="K3" s="243"/>
      <c r="N3" s="2"/>
      <c r="O3" s="639"/>
      <c r="AD3" s="10"/>
      <c r="AP3" s="1135" t="s">
        <v>85</v>
      </c>
      <c r="AQ3" s="1135" t="s">
        <v>45</v>
      </c>
      <c r="AR3" s="1135" t="s">
        <v>61</v>
      </c>
      <c r="AS3" s="1135" t="s">
        <v>73</v>
      </c>
      <c r="AT3" s="1136" t="s">
        <v>86</v>
      </c>
      <c r="AV3" s="49"/>
      <c r="AW3" s="49"/>
      <c r="AX3" s="49"/>
      <c r="AY3" s="49"/>
      <c r="AZ3" s="49"/>
      <c r="BA3" s="49"/>
      <c r="BO3" s="1169" t="s">
        <v>112</v>
      </c>
      <c r="BP3" s="1169" t="s">
        <v>45</v>
      </c>
      <c r="BQ3" s="1169" t="s">
        <v>31</v>
      </c>
      <c r="BR3" s="1169" t="s">
        <v>100</v>
      </c>
      <c r="BS3" s="1169" t="s">
        <v>97</v>
      </c>
    </row>
    <row r="4" spans="1:104" ht="15.75" thickBot="1" x14ac:dyDescent="0.3">
      <c r="A4" s="2"/>
      <c r="B4" s="2"/>
      <c r="C4" s="2"/>
      <c r="D4" s="107"/>
      <c r="E4" s="110"/>
      <c r="F4" s="109"/>
      <c r="G4" s="2"/>
      <c r="H4" s="1209"/>
      <c r="I4" s="1209"/>
      <c r="J4" s="242"/>
      <c r="K4" s="243"/>
      <c r="M4" s="2"/>
      <c r="N4" s="2"/>
      <c r="O4" s="639"/>
      <c r="P4" s="36"/>
      <c r="Q4" s="36"/>
      <c r="R4" s="36"/>
      <c r="S4" s="36" t="s">
        <v>55</v>
      </c>
      <c r="T4" s="322"/>
      <c r="U4" s="36"/>
      <c r="V4" s="36" t="s">
        <v>59</v>
      </c>
      <c r="W4" s="36"/>
      <c r="X4" s="36"/>
      <c r="Y4" s="36"/>
      <c r="Z4" s="36"/>
      <c r="AA4" s="36"/>
      <c r="AB4" s="36"/>
      <c r="AC4" s="826"/>
      <c r="AD4" s="10"/>
      <c r="AE4" s="36"/>
      <c r="AF4" s="37"/>
      <c r="AG4" s="36"/>
      <c r="AH4" s="36"/>
      <c r="AI4" s="36"/>
      <c r="AJ4" s="36"/>
      <c r="AK4" s="915" t="s">
        <v>72</v>
      </c>
      <c r="AL4" s="36"/>
      <c r="AM4" s="915" t="s">
        <v>78</v>
      </c>
      <c r="AN4" s="10"/>
      <c r="AP4" s="1136" t="s">
        <v>425</v>
      </c>
      <c r="AQ4" s="1136" t="s">
        <v>177</v>
      </c>
      <c r="AR4" s="1136" t="s">
        <v>388</v>
      </c>
      <c r="AS4" s="1136" t="s">
        <v>30</v>
      </c>
      <c r="AT4" s="1162">
        <v>12</v>
      </c>
      <c r="AU4"/>
      <c r="AV4" s="50" t="s">
        <v>43</v>
      </c>
      <c r="AW4" s="50" t="s">
        <v>87</v>
      </c>
      <c r="AX4" s="50" t="s">
        <v>88</v>
      </c>
      <c r="AY4" s="50" t="s">
        <v>89</v>
      </c>
      <c r="AZ4" s="50" t="s">
        <v>90</v>
      </c>
      <c r="BA4" s="50" t="s">
        <v>91</v>
      </c>
      <c r="BB4" s="33"/>
      <c r="BC4" s="33"/>
      <c r="BD4" s="1113"/>
      <c r="BE4" s="1113"/>
      <c r="BF4" s="51"/>
      <c r="BG4" s="51"/>
      <c r="BH4" s="51"/>
      <c r="BI4" s="51"/>
      <c r="BJ4" s="33"/>
      <c r="BK4" s="33"/>
      <c r="BL4" s="33"/>
      <c r="BM4" s="33"/>
      <c r="BN4" s="33"/>
      <c r="BO4" s="1165" t="str">
        <f t="shared" ref="BO4:BO35" si="0">AP4</f>
        <v>اسفنجی فیلتر هوا مشکی PPI45</v>
      </c>
      <c r="BP4" s="1166" t="str">
        <f t="shared" ref="BP4:BP35" si="1">AQ4</f>
        <v>PPI 45</v>
      </c>
      <c r="BQ4" s="1167" t="str">
        <f t="shared" ref="BQ4:BQ35" si="2">AS4</f>
        <v>Pcs</v>
      </c>
      <c r="BR4" s="1167" t="str">
        <f t="shared" ref="BR4:BR35" si="3">AR4</f>
        <v>000952000027</v>
      </c>
      <c r="BS4" s="1168">
        <f t="shared" ref="BS4:BS35" si="4">AT4*$BA$5</f>
        <v>12</v>
      </c>
      <c r="BT4" s="33"/>
      <c r="BU4" s="33"/>
      <c r="BV4" s="33"/>
      <c r="BW4" s="33"/>
      <c r="BX4" s="33"/>
      <c r="BY4" s="33"/>
      <c r="BZ4" s="33"/>
      <c r="CA4" s="33"/>
      <c r="CB4" s="33"/>
      <c r="CC4" s="33"/>
      <c r="CD4" s="33"/>
      <c r="CE4" s="33"/>
      <c r="CF4" s="33"/>
      <c r="CG4" s="33"/>
      <c r="CH4" s="33"/>
      <c r="CI4" s="33"/>
      <c r="CJ4" s="33"/>
      <c r="CK4" s="33"/>
      <c r="CL4" s="33"/>
      <c r="CM4" s="33"/>
      <c r="CN4" s="33"/>
      <c r="CO4" s="33"/>
      <c r="CP4" s="33"/>
      <c r="CQ4" s="33"/>
      <c r="CR4" s="33"/>
      <c r="CS4" s="33"/>
      <c r="CT4" s="33"/>
      <c r="CU4" s="33"/>
      <c r="CV4" s="33"/>
      <c r="CW4" s="33"/>
      <c r="CX4" s="33"/>
      <c r="CY4" s="33"/>
      <c r="CZ4" s="33"/>
    </row>
    <row r="5" spans="1:104" ht="15.75" thickBot="1" x14ac:dyDescent="0.3">
      <c r="A5" s="2"/>
      <c r="B5" s="2"/>
      <c r="C5" s="2"/>
      <c r="D5" s="107"/>
      <c r="E5" s="111"/>
      <c r="F5" s="109"/>
      <c r="G5" s="2"/>
      <c r="H5" s="1209"/>
      <c r="I5" s="1209"/>
      <c r="J5" s="242"/>
      <c r="K5" s="243"/>
      <c r="M5" s="2"/>
      <c r="N5" s="2"/>
      <c r="O5" s="639"/>
      <c r="P5" s="38"/>
      <c r="Q5" s="38"/>
      <c r="R5" s="38"/>
      <c r="S5" s="38" t="s">
        <v>52</v>
      </c>
      <c r="T5" s="645"/>
      <c r="U5" s="324"/>
      <c r="V5" s="38" t="s">
        <v>58</v>
      </c>
      <c r="W5" s="38"/>
      <c r="X5" s="38"/>
      <c r="Y5" s="38"/>
      <c r="Z5" s="38"/>
      <c r="AA5" s="38" t="s">
        <v>65</v>
      </c>
      <c r="AB5" s="38" t="s">
        <v>67</v>
      </c>
      <c r="AC5" s="827" t="s">
        <v>65</v>
      </c>
      <c r="AD5" s="10"/>
      <c r="AE5" s="38"/>
      <c r="AF5" s="39"/>
      <c r="AG5" s="38"/>
      <c r="AH5" s="38"/>
      <c r="AI5" s="38" t="s">
        <v>81</v>
      </c>
      <c r="AJ5" s="38"/>
      <c r="AK5" s="916" t="s">
        <v>71</v>
      </c>
      <c r="AL5" s="38" t="s">
        <v>75</v>
      </c>
      <c r="AM5" s="916" t="s">
        <v>79</v>
      </c>
      <c r="AP5" s="1136" t="s">
        <v>452</v>
      </c>
      <c r="AQ5" s="1136" t="s">
        <v>500</v>
      </c>
      <c r="AR5" s="1136" t="s">
        <v>404</v>
      </c>
      <c r="AS5" s="1136" t="s">
        <v>30</v>
      </c>
      <c r="AT5" s="1162">
        <v>1</v>
      </c>
      <c r="AU5"/>
      <c r="AV5" s="53">
        <v>1</v>
      </c>
      <c r="AW5" s="54"/>
      <c r="AX5" s="55"/>
      <c r="AY5" s="56" t="s">
        <v>499</v>
      </c>
      <c r="AZ5" s="56">
        <f>P8</f>
        <v>411</v>
      </c>
      <c r="BA5" s="56">
        <v>1</v>
      </c>
      <c r="BB5" s="33"/>
      <c r="BC5" s="33"/>
      <c r="BD5" s="1114"/>
      <c r="BE5" s="1114"/>
      <c r="BF5" s="52"/>
      <c r="BG5" s="52"/>
      <c r="BH5" s="52"/>
      <c r="BI5" s="52"/>
      <c r="BJ5" s="33"/>
      <c r="BK5" s="33"/>
      <c r="BL5" s="33"/>
      <c r="BM5" s="33"/>
      <c r="BN5" s="33"/>
      <c r="BO5" s="1128" t="str">
        <f t="shared" si="0"/>
        <v>اشپیل 3</v>
      </c>
      <c r="BP5" s="1129" t="str">
        <f t="shared" si="1"/>
        <v>2.6x30---Electroplated-Din 94</v>
      </c>
      <c r="BQ5" s="1122" t="str">
        <f t="shared" si="2"/>
        <v>Pcs</v>
      </c>
      <c r="BR5" s="1122" t="str">
        <f t="shared" si="3"/>
        <v>000013300003</v>
      </c>
      <c r="BS5" s="1163">
        <f t="shared" si="4"/>
        <v>1</v>
      </c>
      <c r="BT5" s="33"/>
      <c r="BU5" s="33"/>
      <c r="BV5" s="33"/>
      <c r="BW5" s="33"/>
      <c r="BX5" s="33"/>
      <c r="BY5" s="33"/>
      <c r="BZ5" s="33"/>
      <c r="CA5" s="33"/>
      <c r="CB5" s="33"/>
      <c r="CC5" s="33"/>
      <c r="CD5" s="33"/>
      <c r="CE5" s="33"/>
      <c r="CF5" s="33"/>
      <c r="CG5" s="33"/>
      <c r="CH5" s="33"/>
      <c r="CI5" s="33"/>
      <c r="CJ5" s="33"/>
      <c r="CK5" s="33"/>
      <c r="CL5" s="33"/>
      <c r="CM5" s="33"/>
      <c r="CN5" s="33"/>
      <c r="CO5" s="33"/>
      <c r="CP5" s="33"/>
      <c r="CQ5" s="33"/>
      <c r="CR5" s="33"/>
      <c r="CS5" s="33"/>
      <c r="CT5" s="33"/>
      <c r="CU5" s="33"/>
      <c r="CV5" s="33"/>
      <c r="CW5" s="33"/>
      <c r="CX5" s="33"/>
      <c r="CY5" s="33"/>
      <c r="CZ5" s="33"/>
    </row>
    <row r="6" spans="1:104" ht="15.75" thickBot="1" x14ac:dyDescent="0.3">
      <c r="A6" s="2"/>
      <c r="B6" s="2"/>
      <c r="C6" s="2"/>
      <c r="D6" s="107"/>
      <c r="E6" s="110"/>
      <c r="F6" s="109"/>
      <c r="G6" s="2"/>
      <c r="H6" s="2"/>
      <c r="I6" s="2"/>
      <c r="J6" s="2"/>
      <c r="K6" s="2"/>
      <c r="L6" s="2"/>
      <c r="M6" s="2"/>
      <c r="N6" s="2"/>
      <c r="O6" s="639"/>
      <c r="P6" s="38" t="s">
        <v>325</v>
      </c>
      <c r="Q6" s="38" t="s">
        <v>7</v>
      </c>
      <c r="R6" s="38" t="s">
        <v>52</v>
      </c>
      <c r="S6" s="38" t="s">
        <v>54</v>
      </c>
      <c r="T6" s="323" t="s">
        <v>56</v>
      </c>
      <c r="U6" s="38" t="s">
        <v>56</v>
      </c>
      <c r="V6" s="38" t="s">
        <v>52</v>
      </c>
      <c r="W6" s="38"/>
      <c r="X6" s="38"/>
      <c r="Y6" s="38"/>
      <c r="Z6" s="38"/>
      <c r="AA6" s="38" t="s">
        <v>64</v>
      </c>
      <c r="AB6" s="38" t="s">
        <v>52</v>
      </c>
      <c r="AC6" s="827" t="s">
        <v>54</v>
      </c>
      <c r="AD6" s="10"/>
      <c r="AE6" s="38"/>
      <c r="AF6" s="39"/>
      <c r="AG6" s="38"/>
      <c r="AH6" s="38"/>
      <c r="AI6" s="38" t="s">
        <v>82</v>
      </c>
      <c r="AJ6" s="38" t="s">
        <v>62</v>
      </c>
      <c r="AK6" s="916" t="s">
        <v>70</v>
      </c>
      <c r="AL6" s="38" t="s">
        <v>74</v>
      </c>
      <c r="AM6" s="916" t="s">
        <v>77</v>
      </c>
      <c r="AN6" s="10"/>
      <c r="AP6" s="1136" t="s">
        <v>461</v>
      </c>
      <c r="AQ6" s="1136" t="s">
        <v>288</v>
      </c>
      <c r="AR6" s="1136" t="s">
        <v>480</v>
      </c>
      <c r="AS6" s="1136" t="s">
        <v>30</v>
      </c>
      <c r="AT6" s="1162">
        <v>1</v>
      </c>
      <c r="AU6"/>
      <c r="AV6" s="40"/>
      <c r="AW6" s="40"/>
      <c r="AX6" s="33"/>
      <c r="AY6" s="33"/>
      <c r="AZ6" s="33"/>
      <c r="BA6" s="33"/>
      <c r="BB6" s="33"/>
      <c r="BC6" s="33"/>
      <c r="BD6" s="1114" t="s">
        <v>7</v>
      </c>
      <c r="BE6" s="1114" t="s">
        <v>1</v>
      </c>
      <c r="BF6" s="52"/>
      <c r="BG6" s="52"/>
      <c r="BH6" s="52"/>
      <c r="BI6" s="52"/>
      <c r="BJ6" s="33"/>
      <c r="BK6" s="33"/>
      <c r="BL6" s="33"/>
      <c r="BM6" s="33"/>
      <c r="BN6" s="33"/>
      <c r="BO6" s="1128" t="str">
        <f t="shared" si="0"/>
        <v>الکتروگیربکس روتاری هوا 0.37 kw*1450rpm</v>
      </c>
      <c r="BP6" s="1129" t="str">
        <f t="shared" si="1"/>
        <v>0.37 kw</v>
      </c>
      <c r="BQ6" s="1122" t="str">
        <f t="shared" si="2"/>
        <v>Pcs</v>
      </c>
      <c r="BR6" s="1122" t="str">
        <f t="shared" si="3"/>
        <v>000050100/37</v>
      </c>
      <c r="BS6" s="1163">
        <f t="shared" si="4"/>
        <v>1</v>
      </c>
      <c r="BT6" s="33"/>
      <c r="BU6" s="33"/>
      <c r="BV6" s="33"/>
      <c r="BW6" s="33"/>
      <c r="BX6" s="33"/>
      <c r="BY6" s="33"/>
      <c r="BZ6" s="33"/>
      <c r="CA6" s="33"/>
      <c r="CB6" s="33"/>
      <c r="CC6" s="33"/>
      <c r="CD6" s="33"/>
      <c r="CE6" s="33"/>
      <c r="CF6" s="33"/>
      <c r="CG6" s="33"/>
      <c r="CH6" s="33"/>
      <c r="CI6" s="33"/>
      <c r="CJ6" s="33"/>
      <c r="CK6" s="33"/>
      <c r="CL6" s="33"/>
      <c r="CM6" s="33"/>
      <c r="CN6" s="33"/>
      <c r="CO6" s="33"/>
      <c r="CP6" s="33"/>
      <c r="CQ6" s="33"/>
      <c r="CR6" s="33"/>
      <c r="CS6" s="33"/>
      <c r="CT6" s="33"/>
      <c r="CU6" s="33"/>
      <c r="CV6" s="33"/>
      <c r="CW6" s="33"/>
      <c r="CX6" s="33"/>
      <c r="CY6" s="33"/>
      <c r="CZ6" s="33"/>
    </row>
    <row r="7" spans="1:104" ht="15.75" thickBot="1" x14ac:dyDescent="0.3">
      <c r="A7" s="276" t="s">
        <v>0</v>
      </c>
      <c r="B7" s="277" t="s">
        <v>7</v>
      </c>
      <c r="C7" s="277" t="s">
        <v>114</v>
      </c>
      <c r="D7" s="279" t="s">
        <v>1</v>
      </c>
      <c r="E7" s="279" t="s">
        <v>11</v>
      </c>
      <c r="F7" s="279" t="s">
        <v>12</v>
      </c>
      <c r="G7" s="277" t="s">
        <v>13</v>
      </c>
      <c r="H7" s="277" t="s">
        <v>14</v>
      </c>
      <c r="I7" s="277" t="s">
        <v>15</v>
      </c>
      <c r="J7" s="277" t="s">
        <v>16</v>
      </c>
      <c r="K7" s="277" t="s">
        <v>31</v>
      </c>
      <c r="L7" s="277" t="s">
        <v>32</v>
      </c>
      <c r="M7" s="277" t="s">
        <v>33</v>
      </c>
      <c r="N7" s="280" t="s">
        <v>19</v>
      </c>
      <c r="O7" s="640"/>
      <c r="P7" s="38" t="s">
        <v>43</v>
      </c>
      <c r="Q7" s="38" t="s">
        <v>43</v>
      </c>
      <c r="R7" s="38" t="s">
        <v>51</v>
      </c>
      <c r="S7" s="38" t="s">
        <v>53</v>
      </c>
      <c r="T7" s="323" t="s">
        <v>43</v>
      </c>
      <c r="U7" s="38" t="s">
        <v>324</v>
      </c>
      <c r="V7" s="38" t="s">
        <v>57</v>
      </c>
      <c r="W7" s="38" t="s">
        <v>43</v>
      </c>
      <c r="X7" s="38" t="s">
        <v>60</v>
      </c>
      <c r="Y7" s="38" t="s">
        <v>1</v>
      </c>
      <c r="Z7" s="38" t="s">
        <v>46</v>
      </c>
      <c r="AA7" s="38" t="s">
        <v>63</v>
      </c>
      <c r="AB7" s="38" t="s">
        <v>66</v>
      </c>
      <c r="AC7" s="827" t="s">
        <v>68</v>
      </c>
      <c r="AD7" s="10"/>
      <c r="AE7" s="38" t="s">
        <v>60</v>
      </c>
      <c r="AF7" s="39" t="s">
        <v>1</v>
      </c>
      <c r="AG7" s="38" t="s">
        <v>44</v>
      </c>
      <c r="AH7" s="38" t="s">
        <v>45</v>
      </c>
      <c r="AI7" s="38" t="s">
        <v>83</v>
      </c>
      <c r="AJ7" s="38" t="s">
        <v>61</v>
      </c>
      <c r="AK7" s="916" t="s">
        <v>69</v>
      </c>
      <c r="AL7" s="38" t="s">
        <v>73</v>
      </c>
      <c r="AM7" s="916" t="s">
        <v>76</v>
      </c>
      <c r="AP7" s="1136" t="s">
        <v>456</v>
      </c>
      <c r="AQ7" s="1136" t="s">
        <v>2</v>
      </c>
      <c r="AR7" s="1136" t="s">
        <v>407</v>
      </c>
      <c r="AS7" s="1136" t="s">
        <v>30</v>
      </c>
      <c r="AT7" s="1162">
        <v>2</v>
      </c>
      <c r="AU7"/>
      <c r="AV7" s="40"/>
      <c r="AW7" s="40"/>
      <c r="AX7" s="33"/>
      <c r="AY7" s="33"/>
      <c r="AZ7" s="33"/>
      <c r="BA7" s="33"/>
      <c r="BB7" s="33"/>
      <c r="BC7" s="33"/>
      <c r="BD7" s="1115" t="s">
        <v>43</v>
      </c>
      <c r="BE7" s="1115" t="s">
        <v>43</v>
      </c>
      <c r="BF7" s="50" t="s">
        <v>60</v>
      </c>
      <c r="BG7" s="50" t="s">
        <v>51</v>
      </c>
      <c r="BH7" s="50" t="s">
        <v>92</v>
      </c>
      <c r="BI7" s="50" t="s">
        <v>93</v>
      </c>
      <c r="BJ7" s="33"/>
      <c r="BK7" s="33"/>
      <c r="BL7" s="33"/>
      <c r="BM7" s="33"/>
      <c r="BN7" s="33"/>
      <c r="BO7" s="1128" t="str">
        <f t="shared" si="0"/>
        <v>بلبرینگ 6201</v>
      </c>
      <c r="BP7" s="1129" t="str">
        <f t="shared" si="1"/>
        <v>-</v>
      </c>
      <c r="BQ7" s="1122" t="str">
        <f t="shared" si="2"/>
        <v>Pcs</v>
      </c>
      <c r="BR7" s="1122" t="str">
        <f t="shared" si="3"/>
        <v>000020016201</v>
      </c>
      <c r="BS7" s="1163">
        <f t="shared" si="4"/>
        <v>2</v>
      </c>
      <c r="BT7" s="33"/>
      <c r="BU7" s="33"/>
      <c r="BV7" s="33"/>
      <c r="BW7" s="33"/>
      <c r="BX7" s="33"/>
      <c r="BY7" s="33"/>
      <c r="BZ7" s="33"/>
      <c r="CA7" s="33"/>
      <c r="CB7" s="33"/>
      <c r="CC7" s="33"/>
      <c r="CD7" s="33"/>
      <c r="CE7" s="33"/>
      <c r="CF7" s="33"/>
      <c r="CG7" s="33"/>
      <c r="CH7" s="33"/>
      <c r="CI7" s="33"/>
      <c r="CJ7" s="33"/>
      <c r="CK7" s="33"/>
      <c r="CL7" s="33"/>
      <c r="CM7" s="33"/>
      <c r="CN7" s="33"/>
      <c r="CO7" s="33"/>
      <c r="CP7" s="33"/>
      <c r="CQ7" s="33"/>
      <c r="CR7" s="33"/>
      <c r="CS7" s="33"/>
      <c r="CT7" s="33"/>
      <c r="CU7" s="33"/>
      <c r="CV7" s="33"/>
      <c r="CW7" s="33"/>
      <c r="CX7" s="33"/>
      <c r="CY7" s="33"/>
      <c r="CZ7" s="33"/>
    </row>
    <row r="8" spans="1:104" ht="15" x14ac:dyDescent="0.25">
      <c r="A8" s="1170">
        <v>1</v>
      </c>
      <c r="B8" s="74" t="s">
        <v>113</v>
      </c>
      <c r="C8" s="74" t="s">
        <v>155</v>
      </c>
      <c r="D8" s="73" t="s">
        <v>115</v>
      </c>
      <c r="E8" s="73" t="s">
        <v>3</v>
      </c>
      <c r="F8" s="73" t="s">
        <v>527</v>
      </c>
      <c r="G8" s="74">
        <v>1.5</v>
      </c>
      <c r="H8" s="74">
        <v>840</v>
      </c>
      <c r="I8" s="74">
        <v>1570</v>
      </c>
      <c r="J8" s="74">
        <f>IF($E$1=1500,6,IF($E$1=2000,8,IF($E$1=2500,10,12)))</f>
        <v>8</v>
      </c>
      <c r="K8" s="74" t="s">
        <v>29</v>
      </c>
      <c r="L8" s="75">
        <f>(J8*G8*H8*I8*7.85/1000000)-(20*20*1.5*7.85*2046*J8/1000000)</f>
        <v>47.137680000000003</v>
      </c>
      <c r="M8" s="75">
        <f>1650*1000*1.5*7.85*J8/1000000</f>
        <v>155.43</v>
      </c>
      <c r="N8" s="76">
        <f>(M8-L8)/L8</f>
        <v>2.2973621103117505</v>
      </c>
      <c r="O8" s="641"/>
      <c r="P8" s="350">
        <f>IF(E1=1500,410,IF(E1=2000,411,IF(E1=2500,412,413)))</f>
        <v>411</v>
      </c>
      <c r="Q8" s="351" t="s">
        <v>34</v>
      </c>
      <c r="R8" s="352" t="str">
        <f>B8</f>
        <v>Front Drum</v>
      </c>
      <c r="S8" s="352">
        <v>1</v>
      </c>
      <c r="T8" s="351" t="s">
        <v>34</v>
      </c>
      <c r="U8" s="352" t="str">
        <f>C8</f>
        <v>بدنه</v>
      </c>
      <c r="V8" s="353">
        <v>1</v>
      </c>
      <c r="W8" s="351" t="s">
        <v>34</v>
      </c>
      <c r="X8" s="354" t="str">
        <f>P8&amp;Q8&amp;T8&amp;W8</f>
        <v>411010101</v>
      </c>
      <c r="Y8" s="355" t="str">
        <f>D8</f>
        <v>توری پانچی</v>
      </c>
      <c r="Z8" s="353" t="s">
        <v>336</v>
      </c>
      <c r="AA8" s="353">
        <f>J8</f>
        <v>8</v>
      </c>
      <c r="AB8" s="353">
        <f t="shared" ref="AB8:AB85" si="5">AA8*V8</f>
        <v>8</v>
      </c>
      <c r="AC8" s="930">
        <f t="shared" ref="AC8:AC85" si="6">AB8*S8</f>
        <v>8</v>
      </c>
      <c r="AD8" s="10"/>
      <c r="AE8" s="702" t="str">
        <f>X8</f>
        <v>411010101</v>
      </c>
      <c r="AF8" s="703" t="str">
        <f>Y8</f>
        <v>توری پانچی</v>
      </c>
      <c r="AG8" s="353" t="str">
        <f>E8</f>
        <v>Plate</v>
      </c>
      <c r="AH8" s="353" t="str">
        <f>F8</f>
        <v>St-12</v>
      </c>
      <c r="AI8" s="703" t="s">
        <v>412</v>
      </c>
      <c r="AJ8" s="822" t="s">
        <v>463</v>
      </c>
      <c r="AK8" s="704">
        <f>M8/J8</f>
        <v>19.428750000000001</v>
      </c>
      <c r="AL8" s="353" t="str">
        <f>K8</f>
        <v>Kg</v>
      </c>
      <c r="AM8" s="705">
        <f t="shared" ref="AM8:AM38" si="7">AK8*AC8</f>
        <v>155.43</v>
      </c>
      <c r="AN8" s="10"/>
      <c r="AP8" s="1136" t="s">
        <v>458</v>
      </c>
      <c r="AQ8" s="1136" t="s">
        <v>283</v>
      </c>
      <c r="AR8" s="1136" t="s">
        <v>409</v>
      </c>
      <c r="AS8" s="1136" t="s">
        <v>30</v>
      </c>
      <c r="AT8" s="1162">
        <v>1</v>
      </c>
      <c r="AU8"/>
      <c r="AV8" s="40"/>
      <c r="AW8" s="40"/>
      <c r="AX8" s="33"/>
      <c r="AY8" s="33"/>
      <c r="AZ8" s="33"/>
      <c r="BA8" s="33"/>
      <c r="BB8" s="33"/>
      <c r="BC8" s="33"/>
      <c r="BD8" s="1116" t="str">
        <f>Q8</f>
        <v>01</v>
      </c>
      <c r="BE8" s="1117" t="str">
        <f>W8</f>
        <v>01</v>
      </c>
      <c r="BF8" s="1117" t="str">
        <f>X8</f>
        <v>411010101</v>
      </c>
      <c r="BG8" s="1118" t="str">
        <f t="shared" ref="BG8:BG39" si="8">R8</f>
        <v>Front Drum</v>
      </c>
      <c r="BH8" s="1118">
        <f t="shared" ref="BH8:BH39" si="9">S8</f>
        <v>1</v>
      </c>
      <c r="BI8" s="1119">
        <f t="shared" ref="BI8:BI39" si="10">BH8*BA$5</f>
        <v>1</v>
      </c>
      <c r="BJ8" s="33"/>
      <c r="BK8" s="33"/>
      <c r="BL8" s="33"/>
      <c r="BM8" s="33"/>
      <c r="BN8" s="33"/>
      <c r="BO8" s="1128" t="str">
        <f t="shared" si="0"/>
        <v>پولی چدنی گیربکس روتاری هوا خام</v>
      </c>
      <c r="BP8" s="1129" t="str">
        <f t="shared" si="1"/>
        <v>Casted Iron</v>
      </c>
      <c r="BQ8" s="1122" t="str">
        <f t="shared" si="2"/>
        <v>Pcs</v>
      </c>
      <c r="BR8" s="1122" t="str">
        <f t="shared" si="3"/>
        <v>000952000028</v>
      </c>
      <c r="BS8" s="1163">
        <f t="shared" si="4"/>
        <v>1</v>
      </c>
      <c r="BT8" s="33"/>
      <c r="BU8" s="33"/>
      <c r="BV8" s="33"/>
      <c r="BW8" s="33"/>
      <c r="BX8" s="33"/>
      <c r="BY8" s="33"/>
      <c r="BZ8" s="33"/>
      <c r="CA8" s="33"/>
      <c r="CB8" s="33"/>
      <c r="CC8" s="33"/>
      <c r="CD8" s="33"/>
      <c r="CE8" s="33"/>
      <c r="CF8" s="33"/>
      <c r="CG8" s="33"/>
      <c r="CH8" s="33"/>
      <c r="CI8" s="33"/>
      <c r="CJ8" s="33"/>
      <c r="CK8" s="33"/>
      <c r="CL8" s="33"/>
      <c r="CM8" s="33"/>
      <c r="CN8" s="33"/>
      <c r="CO8" s="33"/>
      <c r="CP8" s="33"/>
      <c r="CQ8" s="33"/>
      <c r="CR8" s="33"/>
      <c r="CS8" s="33"/>
      <c r="CT8" s="33"/>
      <c r="CU8" s="33"/>
      <c r="CV8" s="33"/>
      <c r="CW8" s="33"/>
      <c r="CX8" s="33"/>
      <c r="CY8" s="33"/>
      <c r="CZ8" s="33"/>
    </row>
    <row r="9" spans="1:104" ht="15" x14ac:dyDescent="0.25">
      <c r="A9" s="1171">
        <v>2</v>
      </c>
      <c r="B9" s="77" t="s">
        <v>113</v>
      </c>
      <c r="C9" s="77" t="s">
        <v>155</v>
      </c>
      <c r="D9" s="78" t="s">
        <v>119</v>
      </c>
      <c r="E9" s="78" t="s">
        <v>3</v>
      </c>
      <c r="F9" s="78" t="s">
        <v>80</v>
      </c>
      <c r="G9" s="77">
        <v>4</v>
      </c>
      <c r="H9" s="77">
        <v>131</v>
      </c>
      <c r="I9" s="77">
        <v>1900</v>
      </c>
      <c r="J9" s="77">
        <f>J8/2</f>
        <v>4</v>
      </c>
      <c r="K9" s="77" t="s">
        <v>29</v>
      </c>
      <c r="L9" s="79">
        <f>J9*G9*H9*I9*7.85/1000000</f>
        <v>31.261839999999999</v>
      </c>
      <c r="M9" s="79">
        <f>((((1250-(INT(1250/H9)*H9))/(INT(1250/H9)))+H9)*G9*I9*J9*7.85)/1000000</f>
        <v>33.144444444444439</v>
      </c>
      <c r="N9" s="80">
        <f>(M9-L9)/L9</f>
        <v>6.0220525869380662E-2</v>
      </c>
      <c r="O9" s="641"/>
      <c r="P9" s="356">
        <f t="shared" ref="P9:P72" si="11">IF(E2=1500,410,IF(E2=2000,411,IF(E2=2500,412,413)))</f>
        <v>413</v>
      </c>
      <c r="Q9" s="357" t="s">
        <v>34</v>
      </c>
      <c r="R9" s="358" t="str">
        <f t="shared" ref="R9:R72" si="12">B9</f>
        <v>Front Drum</v>
      </c>
      <c r="S9" s="358">
        <v>1</v>
      </c>
      <c r="T9" s="357" t="s">
        <v>34</v>
      </c>
      <c r="U9" s="358" t="str">
        <f t="shared" ref="U9:U72" si="13">C9</f>
        <v>بدنه</v>
      </c>
      <c r="V9" s="359">
        <v>1</v>
      </c>
      <c r="W9" s="357" t="s">
        <v>35</v>
      </c>
      <c r="X9" s="360" t="str">
        <f t="shared" ref="X9:X72" si="14">P9&amp;Q9&amp;T9&amp;W9</f>
        <v>413010102</v>
      </c>
      <c r="Y9" s="361" t="str">
        <f t="shared" ref="Y9:Y72" si="15">D9</f>
        <v>ناودانی جلوی بدنه</v>
      </c>
      <c r="Z9" s="359" t="s">
        <v>337</v>
      </c>
      <c r="AA9" s="359">
        <f t="shared" ref="AA9:AA72" si="16">J9</f>
        <v>4</v>
      </c>
      <c r="AB9" s="359">
        <f t="shared" si="5"/>
        <v>4</v>
      </c>
      <c r="AC9" s="931">
        <f t="shared" si="6"/>
        <v>4</v>
      </c>
      <c r="AD9" s="10"/>
      <c r="AE9" s="706" t="str">
        <f t="shared" ref="AE9:AE72" si="17">X9</f>
        <v>413010102</v>
      </c>
      <c r="AF9" s="707" t="str">
        <f t="shared" ref="AF9:AF72" si="18">Y9</f>
        <v>ناودانی جلوی بدنه</v>
      </c>
      <c r="AG9" s="359" t="str">
        <f t="shared" ref="AG9:AG72" si="19">E9</f>
        <v>Plate</v>
      </c>
      <c r="AH9" s="359" t="str">
        <f t="shared" ref="AH9:AH12" si="20">F9</f>
        <v>St-37</v>
      </c>
      <c r="AI9" s="707" t="s">
        <v>413</v>
      </c>
      <c r="AJ9" s="818" t="s">
        <v>464</v>
      </c>
      <c r="AK9" s="708">
        <f>M9/J9</f>
        <v>8.2861111111111097</v>
      </c>
      <c r="AL9" s="359" t="str">
        <f>K9</f>
        <v>Kg</v>
      </c>
      <c r="AM9" s="709">
        <f t="shared" si="7"/>
        <v>33.144444444444439</v>
      </c>
      <c r="AP9" s="1136" t="s">
        <v>457</v>
      </c>
      <c r="AQ9" s="1136" t="s">
        <v>501</v>
      </c>
      <c r="AR9" s="1136" t="s">
        <v>408</v>
      </c>
      <c r="AS9" s="1136" t="s">
        <v>30</v>
      </c>
      <c r="AT9" s="1162">
        <v>1</v>
      </c>
      <c r="AU9"/>
      <c r="AV9" s="40"/>
      <c r="AW9" s="40"/>
      <c r="AX9" s="33"/>
      <c r="AY9" s="33"/>
      <c r="AZ9" s="33"/>
      <c r="BA9" s="33"/>
      <c r="BB9" s="33"/>
      <c r="BC9" s="33"/>
      <c r="BD9" s="1120" t="str">
        <f t="shared" ref="BD9:BD72" si="21">Q9</f>
        <v>01</v>
      </c>
      <c r="BE9" s="1121" t="str">
        <f t="shared" ref="BE9:BF72" si="22">W9</f>
        <v>02</v>
      </c>
      <c r="BF9" s="1121" t="str">
        <f t="shared" ref="BF9:BF40" si="23">X9</f>
        <v>413010102</v>
      </c>
      <c r="BG9" s="1122" t="str">
        <f t="shared" si="8"/>
        <v>Front Drum</v>
      </c>
      <c r="BH9" s="1122">
        <f t="shared" si="9"/>
        <v>1</v>
      </c>
      <c r="BI9" s="1123">
        <f t="shared" si="10"/>
        <v>1</v>
      </c>
      <c r="BJ9" s="33"/>
      <c r="BK9" s="33"/>
      <c r="BL9" s="33"/>
      <c r="BM9" s="33"/>
      <c r="BN9" s="33"/>
      <c r="BO9" s="1128" t="str">
        <f t="shared" si="0"/>
        <v>پیچ 1/3 حدیده  M12*100</v>
      </c>
      <c r="BP9" s="1129" t="str">
        <f t="shared" si="1"/>
        <v>M12x100-5.6-Electroplated-Din 931</v>
      </c>
      <c r="BQ9" s="1122" t="str">
        <f t="shared" si="2"/>
        <v>Pcs</v>
      </c>
      <c r="BR9" s="1122" t="str">
        <f t="shared" si="3"/>
        <v>000011051295</v>
      </c>
      <c r="BS9" s="1163">
        <f t="shared" si="4"/>
        <v>1</v>
      </c>
      <c r="BT9" s="33"/>
      <c r="BU9" s="33"/>
      <c r="BV9" s="33"/>
      <c r="BW9" s="33"/>
      <c r="BX9" s="33"/>
      <c r="BY9" s="33"/>
      <c r="BZ9" s="33"/>
      <c r="CA9" s="33"/>
      <c r="CB9" s="33"/>
      <c r="CC9" s="33"/>
      <c r="CD9" s="33"/>
      <c r="CE9" s="33"/>
      <c r="CF9" s="33"/>
      <c r="CG9" s="33"/>
      <c r="CH9" s="33"/>
      <c r="CI9" s="33"/>
      <c r="CJ9" s="33"/>
      <c r="CK9" s="33"/>
      <c r="CL9" s="33"/>
      <c r="CM9" s="33"/>
      <c r="CN9" s="33"/>
      <c r="CO9" s="33"/>
      <c r="CP9" s="33"/>
      <c r="CQ9" s="33"/>
      <c r="CR9" s="33"/>
      <c r="CS9" s="33"/>
      <c r="CT9" s="33"/>
      <c r="CU9" s="33"/>
      <c r="CV9" s="33"/>
      <c r="CW9" s="33"/>
      <c r="CX9" s="33"/>
      <c r="CY9" s="33"/>
      <c r="CZ9" s="33"/>
    </row>
    <row r="10" spans="1:104" ht="15" x14ac:dyDescent="0.25">
      <c r="A10" s="1171">
        <v>3</v>
      </c>
      <c r="B10" s="77" t="s">
        <v>113</v>
      </c>
      <c r="C10" s="77" t="s">
        <v>155</v>
      </c>
      <c r="D10" s="78" t="s">
        <v>120</v>
      </c>
      <c r="E10" s="78" t="s">
        <v>3</v>
      </c>
      <c r="F10" s="78" t="s">
        <v>80</v>
      </c>
      <c r="G10" s="77">
        <v>4</v>
      </c>
      <c r="H10" s="77">
        <v>131</v>
      </c>
      <c r="I10" s="77">
        <v>1900</v>
      </c>
      <c r="J10" s="77">
        <f>J9</f>
        <v>4</v>
      </c>
      <c r="K10" s="77" t="s">
        <v>29</v>
      </c>
      <c r="L10" s="79">
        <f>J10*G10*H10*I10*7.85/1000000</f>
        <v>31.261839999999999</v>
      </c>
      <c r="M10" s="79">
        <f>((((1250-(INT(1250/H10)*H10))/(INT(1250/H10)))+H10)*G10*I10*J10*7.85)/1000000</f>
        <v>33.144444444444439</v>
      </c>
      <c r="N10" s="80">
        <f>(M10-L10)/L10</f>
        <v>6.0220525869380662E-2</v>
      </c>
      <c r="O10" s="641"/>
      <c r="P10" s="356">
        <f t="shared" si="11"/>
        <v>413</v>
      </c>
      <c r="Q10" s="357" t="s">
        <v>34</v>
      </c>
      <c r="R10" s="358" t="str">
        <f t="shared" si="12"/>
        <v>Front Drum</v>
      </c>
      <c r="S10" s="358">
        <v>1</v>
      </c>
      <c r="T10" s="357" t="s">
        <v>34</v>
      </c>
      <c r="U10" s="358" t="str">
        <f t="shared" si="13"/>
        <v>بدنه</v>
      </c>
      <c r="V10" s="359">
        <v>1</v>
      </c>
      <c r="W10" s="357" t="s">
        <v>36</v>
      </c>
      <c r="X10" s="360" t="str">
        <f t="shared" si="14"/>
        <v>413010103</v>
      </c>
      <c r="Y10" s="361" t="str">
        <f t="shared" si="15"/>
        <v>ناودانی میانی بدنه</v>
      </c>
      <c r="Z10" s="359" t="s">
        <v>337</v>
      </c>
      <c r="AA10" s="359">
        <f t="shared" si="16"/>
        <v>4</v>
      </c>
      <c r="AB10" s="359">
        <f t="shared" si="5"/>
        <v>4</v>
      </c>
      <c r="AC10" s="931">
        <f t="shared" si="6"/>
        <v>4</v>
      </c>
      <c r="AD10" s="10"/>
      <c r="AE10" s="706" t="str">
        <f t="shared" si="17"/>
        <v>413010103</v>
      </c>
      <c r="AF10" s="707" t="str">
        <f t="shared" si="18"/>
        <v>ناودانی میانی بدنه</v>
      </c>
      <c r="AG10" s="359" t="str">
        <f t="shared" si="19"/>
        <v>Plate</v>
      </c>
      <c r="AH10" s="359" t="str">
        <f t="shared" si="20"/>
        <v>St-37</v>
      </c>
      <c r="AI10" s="707" t="s">
        <v>413</v>
      </c>
      <c r="AJ10" s="818" t="s">
        <v>464</v>
      </c>
      <c r="AK10" s="708">
        <f t="shared" ref="AK10:AK12" si="24">M10/J10</f>
        <v>8.2861111111111097</v>
      </c>
      <c r="AL10" s="359" t="str">
        <f t="shared" ref="AL10:AL73" si="25">K10</f>
        <v>Kg</v>
      </c>
      <c r="AM10" s="709">
        <f t="shared" si="7"/>
        <v>33.144444444444439</v>
      </c>
      <c r="AN10" s="10"/>
      <c r="AP10" s="1136" t="s">
        <v>434</v>
      </c>
      <c r="AQ10" s="1136" t="s">
        <v>496</v>
      </c>
      <c r="AR10" s="1136" t="s">
        <v>108</v>
      </c>
      <c r="AS10" s="1136" t="s">
        <v>30</v>
      </c>
      <c r="AT10" s="1162">
        <v>68</v>
      </c>
      <c r="AU10"/>
      <c r="AV10" s="40"/>
      <c r="AW10" s="40"/>
      <c r="AX10" s="33"/>
      <c r="AY10" s="33"/>
      <c r="AZ10" s="33"/>
      <c r="BA10" s="33"/>
      <c r="BB10" s="33"/>
      <c r="BC10" s="33"/>
      <c r="BD10" s="1120" t="str">
        <f t="shared" si="21"/>
        <v>01</v>
      </c>
      <c r="BE10" s="1121" t="str">
        <f t="shared" si="22"/>
        <v>03</v>
      </c>
      <c r="BF10" s="1121" t="str">
        <f t="shared" si="23"/>
        <v>413010103</v>
      </c>
      <c r="BG10" s="1122" t="str">
        <f t="shared" si="8"/>
        <v>Front Drum</v>
      </c>
      <c r="BH10" s="1122">
        <f t="shared" si="9"/>
        <v>1</v>
      </c>
      <c r="BI10" s="1123">
        <f t="shared" si="10"/>
        <v>1</v>
      </c>
      <c r="BJ10" s="33"/>
      <c r="BK10" s="33"/>
      <c r="BL10" s="33"/>
      <c r="BM10" s="33"/>
      <c r="BN10" s="33"/>
      <c r="BO10" s="1128" t="str">
        <f t="shared" si="0"/>
        <v>پیچ تمام حدیده M10*30</v>
      </c>
      <c r="BP10" s="1129" t="str">
        <f t="shared" si="1"/>
        <v>M10x30-5.6-Electroplated-Din 933</v>
      </c>
      <c r="BQ10" s="1122" t="str">
        <f t="shared" si="2"/>
        <v>Pcs</v>
      </c>
      <c r="BR10" s="1122" t="str">
        <f t="shared" si="3"/>
        <v>000011011030</v>
      </c>
      <c r="BS10" s="1163">
        <f t="shared" si="4"/>
        <v>68</v>
      </c>
      <c r="BT10" s="33"/>
      <c r="BU10" s="33"/>
      <c r="BV10" s="33"/>
      <c r="BW10" s="33"/>
      <c r="BX10" s="33"/>
      <c r="BY10" s="33"/>
      <c r="BZ10" s="33"/>
      <c r="CA10" s="33"/>
      <c r="CB10" s="33"/>
      <c r="CC10" s="33"/>
      <c r="CD10" s="33"/>
      <c r="CE10" s="33"/>
      <c r="CF10" s="33"/>
      <c r="CG10" s="33"/>
      <c r="CH10" s="33"/>
      <c r="CI10" s="33"/>
      <c r="CJ10" s="33"/>
      <c r="CK10" s="33"/>
      <c r="CL10" s="33"/>
      <c r="CM10" s="33"/>
      <c r="CN10" s="33"/>
      <c r="CO10" s="33"/>
      <c r="CP10" s="33"/>
      <c r="CQ10" s="33"/>
      <c r="CR10" s="33"/>
      <c r="CS10" s="33"/>
      <c r="CT10" s="33"/>
      <c r="CU10" s="33"/>
      <c r="CV10" s="33"/>
      <c r="CW10" s="33"/>
      <c r="CX10" s="33"/>
      <c r="CY10" s="33"/>
      <c r="CZ10" s="33"/>
    </row>
    <row r="11" spans="1:104" ht="15" x14ac:dyDescent="0.25">
      <c r="A11" s="1171">
        <v>4</v>
      </c>
      <c r="B11" s="77" t="s">
        <v>113</v>
      </c>
      <c r="C11" s="77" t="s">
        <v>155</v>
      </c>
      <c r="D11" s="78" t="s">
        <v>121</v>
      </c>
      <c r="E11" s="78" t="s">
        <v>3</v>
      </c>
      <c r="F11" s="78" t="s">
        <v>80</v>
      </c>
      <c r="G11" s="77">
        <v>4</v>
      </c>
      <c r="H11" s="77">
        <v>73</v>
      </c>
      <c r="I11" s="77">
        <v>1570</v>
      </c>
      <c r="J11" s="77">
        <f>J8</f>
        <v>8</v>
      </c>
      <c r="K11" s="77" t="s">
        <v>29</v>
      </c>
      <c r="L11" s="79">
        <f>J11*G11*H11*I11*7.85/1000000</f>
        <v>28.790032</v>
      </c>
      <c r="M11" s="79">
        <f>((((1250-(INT(1250/H11)*H11))/(INT(1250/H11)))+H11)*G11*I11*J11*7.85)/1000000</f>
        <v>28.998823529411762</v>
      </c>
      <c r="N11" s="80">
        <f>IF(H11="N/A",0,(M11-L11)/L11)</f>
        <v>7.2522159548750117E-3</v>
      </c>
      <c r="O11" s="641"/>
      <c r="P11" s="356">
        <f t="shared" si="11"/>
        <v>413</v>
      </c>
      <c r="Q11" s="357" t="s">
        <v>34</v>
      </c>
      <c r="R11" s="358" t="str">
        <f t="shared" si="12"/>
        <v>Front Drum</v>
      </c>
      <c r="S11" s="358">
        <v>1</v>
      </c>
      <c r="T11" s="357" t="s">
        <v>34</v>
      </c>
      <c r="U11" s="358" t="str">
        <f t="shared" si="13"/>
        <v>بدنه</v>
      </c>
      <c r="V11" s="359">
        <v>1</v>
      </c>
      <c r="W11" s="357" t="s">
        <v>37</v>
      </c>
      <c r="X11" s="360" t="str">
        <f t="shared" si="14"/>
        <v>413010104</v>
      </c>
      <c r="Y11" s="361" t="str">
        <f t="shared" si="15"/>
        <v>نبشی بدنه</v>
      </c>
      <c r="Z11" s="359" t="s">
        <v>338</v>
      </c>
      <c r="AA11" s="359">
        <f t="shared" si="16"/>
        <v>8</v>
      </c>
      <c r="AB11" s="359">
        <f t="shared" si="5"/>
        <v>8</v>
      </c>
      <c r="AC11" s="931">
        <f t="shared" si="6"/>
        <v>8</v>
      </c>
      <c r="AD11" s="10"/>
      <c r="AE11" s="706" t="str">
        <f t="shared" si="17"/>
        <v>413010104</v>
      </c>
      <c r="AF11" s="707" t="str">
        <f t="shared" si="18"/>
        <v>نبشی بدنه</v>
      </c>
      <c r="AG11" s="359" t="str">
        <f t="shared" si="19"/>
        <v>Plate</v>
      </c>
      <c r="AH11" s="359" t="str">
        <f t="shared" si="20"/>
        <v>St-37</v>
      </c>
      <c r="AI11" s="707" t="s">
        <v>413</v>
      </c>
      <c r="AJ11" s="818" t="s">
        <v>464</v>
      </c>
      <c r="AK11" s="708">
        <f t="shared" si="24"/>
        <v>3.6248529411764703</v>
      </c>
      <c r="AL11" s="359" t="str">
        <f t="shared" si="25"/>
        <v>Kg</v>
      </c>
      <c r="AM11" s="709">
        <f t="shared" si="7"/>
        <v>28.998823529411762</v>
      </c>
      <c r="AP11" s="1136" t="s">
        <v>428</v>
      </c>
      <c r="AQ11" s="1136" t="s">
        <v>502</v>
      </c>
      <c r="AR11" s="1136" t="s">
        <v>389</v>
      </c>
      <c r="AS11" s="1136" t="s">
        <v>30</v>
      </c>
      <c r="AT11" s="1162">
        <v>16</v>
      </c>
      <c r="AU11"/>
      <c r="AV11" s="40"/>
      <c r="AW11" s="40"/>
      <c r="AX11" s="33"/>
      <c r="AY11" s="33"/>
      <c r="AZ11" s="33"/>
      <c r="BA11" s="33"/>
      <c r="BB11" s="33"/>
      <c r="BC11" s="33"/>
      <c r="BD11" s="1120" t="str">
        <f t="shared" si="21"/>
        <v>01</v>
      </c>
      <c r="BE11" s="1121" t="str">
        <f t="shared" si="22"/>
        <v>04</v>
      </c>
      <c r="BF11" s="1121" t="str">
        <f t="shared" si="23"/>
        <v>413010104</v>
      </c>
      <c r="BG11" s="1122" t="str">
        <f t="shared" si="8"/>
        <v>Front Drum</v>
      </c>
      <c r="BH11" s="1122">
        <f t="shared" si="9"/>
        <v>1</v>
      </c>
      <c r="BI11" s="1123">
        <f t="shared" si="10"/>
        <v>1</v>
      </c>
      <c r="BJ11" s="33"/>
      <c r="BK11" s="33"/>
      <c r="BL11" s="33"/>
      <c r="BM11" s="33"/>
      <c r="BN11" s="33"/>
      <c r="BO11" s="1128" t="str">
        <f t="shared" si="0"/>
        <v>پیچ تمام حدیده M14*140</v>
      </c>
      <c r="BP11" s="1129" t="str">
        <f t="shared" si="1"/>
        <v>M14x140-5.6-Electroplated-Din 933</v>
      </c>
      <c r="BQ11" s="1122" t="str">
        <f t="shared" si="2"/>
        <v>Pcs</v>
      </c>
      <c r="BR11" s="1122" t="str">
        <f t="shared" si="3"/>
        <v>000011011497</v>
      </c>
      <c r="BS11" s="1163">
        <f t="shared" si="4"/>
        <v>16</v>
      </c>
      <c r="BT11" s="33"/>
      <c r="BU11" s="33"/>
      <c r="BV11" s="33"/>
      <c r="BW11" s="33"/>
      <c r="BX11" s="33"/>
      <c r="BY11" s="33"/>
      <c r="BZ11" s="33"/>
      <c r="CA11" s="33"/>
      <c r="CB11" s="33"/>
      <c r="CC11" s="33"/>
      <c r="CD11" s="33"/>
      <c r="CE11" s="33"/>
      <c r="CF11" s="33"/>
      <c r="CG11" s="33"/>
      <c r="CH11" s="33"/>
      <c r="CI11" s="33"/>
      <c r="CJ11" s="33"/>
      <c r="CK11" s="33"/>
      <c r="CL11" s="33"/>
      <c r="CM11" s="33"/>
      <c r="CN11" s="33"/>
      <c r="CO11" s="33"/>
      <c r="CP11" s="33"/>
      <c r="CQ11" s="33"/>
      <c r="CR11" s="33"/>
      <c r="CS11" s="33"/>
      <c r="CT11" s="33"/>
      <c r="CU11" s="33"/>
      <c r="CV11" s="33"/>
      <c r="CW11" s="33"/>
      <c r="CX11" s="33"/>
      <c r="CY11" s="33"/>
      <c r="CZ11" s="33"/>
    </row>
    <row r="12" spans="1:104" ht="15" x14ac:dyDescent="0.25">
      <c r="A12" s="1171">
        <v>5</v>
      </c>
      <c r="B12" s="77" t="s">
        <v>113</v>
      </c>
      <c r="C12" s="77" t="s">
        <v>155</v>
      </c>
      <c r="D12" s="78" t="s">
        <v>122</v>
      </c>
      <c r="E12" s="78" t="s">
        <v>3</v>
      </c>
      <c r="F12" s="78" t="s">
        <v>4</v>
      </c>
      <c r="G12" s="77">
        <v>2</v>
      </c>
      <c r="H12" s="77">
        <v>67</v>
      </c>
      <c r="I12" s="77">
        <v>1800</v>
      </c>
      <c r="J12" s="77">
        <f>J9</f>
        <v>4</v>
      </c>
      <c r="K12" s="77" t="s">
        <v>29</v>
      </c>
      <c r="L12" s="79">
        <f>J12*G12*H12*I12*7.85/1000000</f>
        <v>7.5736800000000004</v>
      </c>
      <c r="M12" s="79">
        <f>((((1000-(INT(1000/H12)*H12))/(INT(1000/H12)))+H12)*G12*I12*J12*7.85)/1000000</f>
        <v>8.0742857142857147</v>
      </c>
      <c r="N12" s="80">
        <f>(M12-L12)/L12</f>
        <v>6.6098081023454158E-2</v>
      </c>
      <c r="O12" s="641"/>
      <c r="P12" s="356">
        <f t="shared" si="11"/>
        <v>413</v>
      </c>
      <c r="Q12" s="357" t="s">
        <v>34</v>
      </c>
      <c r="R12" s="358" t="str">
        <f t="shared" si="12"/>
        <v>Front Drum</v>
      </c>
      <c r="S12" s="358">
        <v>1</v>
      </c>
      <c r="T12" s="357" t="s">
        <v>34</v>
      </c>
      <c r="U12" s="358" t="str">
        <f t="shared" si="13"/>
        <v>بدنه</v>
      </c>
      <c r="V12" s="359">
        <v>1</v>
      </c>
      <c r="W12" s="357" t="s">
        <v>38</v>
      </c>
      <c r="X12" s="360" t="str">
        <f t="shared" si="14"/>
        <v>413010105</v>
      </c>
      <c r="Y12" s="361" t="str">
        <f t="shared" si="15"/>
        <v>ناودانی تقویتی</v>
      </c>
      <c r="Z12" s="359" t="s">
        <v>339</v>
      </c>
      <c r="AA12" s="359">
        <f t="shared" si="16"/>
        <v>4</v>
      </c>
      <c r="AB12" s="359">
        <f t="shared" si="5"/>
        <v>4</v>
      </c>
      <c r="AC12" s="931">
        <f t="shared" si="6"/>
        <v>4</v>
      </c>
      <c r="AD12" s="10"/>
      <c r="AE12" s="706" t="str">
        <f t="shared" si="17"/>
        <v>413010105</v>
      </c>
      <c r="AF12" s="707" t="str">
        <f t="shared" si="18"/>
        <v>ناودانی تقویتی</v>
      </c>
      <c r="AG12" s="359" t="str">
        <f t="shared" si="19"/>
        <v>Plate</v>
      </c>
      <c r="AH12" s="359" t="str">
        <f t="shared" si="20"/>
        <v>H.D.G</v>
      </c>
      <c r="AI12" s="707" t="s">
        <v>414</v>
      </c>
      <c r="AJ12" s="707" t="s">
        <v>465</v>
      </c>
      <c r="AK12" s="708">
        <f t="shared" si="24"/>
        <v>2.0185714285714287</v>
      </c>
      <c r="AL12" s="359" t="str">
        <f t="shared" si="25"/>
        <v>Kg</v>
      </c>
      <c r="AM12" s="709">
        <f t="shared" si="7"/>
        <v>8.0742857142857147</v>
      </c>
      <c r="AN12" s="10"/>
      <c r="AP12" s="1136" t="s">
        <v>445</v>
      </c>
      <c r="AQ12" s="1136" t="s">
        <v>503</v>
      </c>
      <c r="AR12" s="1136" t="s">
        <v>399</v>
      </c>
      <c r="AS12" s="1136" t="s">
        <v>30</v>
      </c>
      <c r="AT12" s="1162">
        <v>2</v>
      </c>
      <c r="AU12"/>
      <c r="AV12" s="40"/>
      <c r="AW12" s="40"/>
      <c r="AX12" s="33"/>
      <c r="AY12" s="33"/>
      <c r="AZ12" s="33"/>
      <c r="BA12" s="33"/>
      <c r="BB12" s="33"/>
      <c r="BC12" s="33"/>
      <c r="BD12" s="1120" t="str">
        <f t="shared" si="21"/>
        <v>01</v>
      </c>
      <c r="BE12" s="1121" t="str">
        <f t="shared" si="22"/>
        <v>05</v>
      </c>
      <c r="BF12" s="1121" t="str">
        <f t="shared" si="23"/>
        <v>413010105</v>
      </c>
      <c r="BG12" s="1122" t="str">
        <f t="shared" si="8"/>
        <v>Front Drum</v>
      </c>
      <c r="BH12" s="1122">
        <f t="shared" si="9"/>
        <v>1</v>
      </c>
      <c r="BI12" s="1123">
        <f t="shared" si="10"/>
        <v>1</v>
      </c>
      <c r="BJ12" s="33"/>
      <c r="BK12" s="33"/>
      <c r="BL12" s="33"/>
      <c r="BM12" s="33"/>
      <c r="BN12" s="33"/>
      <c r="BO12" s="1128" t="str">
        <f t="shared" si="0"/>
        <v>پیچ تمام حدیده M14*50</v>
      </c>
      <c r="BP12" s="1129" t="str">
        <f t="shared" si="1"/>
        <v>M14x50-5.6-Electroplated-Din 933</v>
      </c>
      <c r="BQ12" s="1122" t="str">
        <f t="shared" si="2"/>
        <v>Pcs</v>
      </c>
      <c r="BR12" s="1122" t="str">
        <f t="shared" si="3"/>
        <v>000011011450</v>
      </c>
      <c r="BS12" s="1163">
        <f t="shared" si="4"/>
        <v>2</v>
      </c>
      <c r="BT12" s="33"/>
      <c r="BU12" s="33"/>
      <c r="BV12" s="33"/>
      <c r="BW12" s="33"/>
      <c r="BX12" s="33"/>
      <c r="BY12" s="33"/>
      <c r="BZ12" s="33"/>
      <c r="CA12" s="33"/>
      <c r="CB12" s="33"/>
      <c r="CC12" s="33"/>
      <c r="CD12" s="33"/>
      <c r="CE12" s="33"/>
      <c r="CF12" s="33"/>
      <c r="CG12" s="33"/>
      <c r="CH12" s="33"/>
      <c r="CI12" s="33"/>
      <c r="CJ12" s="33"/>
      <c r="CK12" s="33"/>
      <c r="CL12" s="33"/>
      <c r="CM12" s="33"/>
      <c r="CN12" s="33"/>
      <c r="CO12" s="33"/>
      <c r="CP12" s="33"/>
      <c r="CQ12" s="33"/>
      <c r="CR12" s="33"/>
      <c r="CS12" s="33"/>
      <c r="CT12" s="33"/>
      <c r="CU12" s="33"/>
      <c r="CV12" s="33"/>
      <c r="CW12" s="33"/>
      <c r="CX12" s="33"/>
      <c r="CY12" s="33"/>
      <c r="CZ12" s="33"/>
    </row>
    <row r="13" spans="1:104" ht="15" x14ac:dyDescent="0.25">
      <c r="A13" s="1171">
        <v>6</v>
      </c>
      <c r="B13" s="77" t="s">
        <v>113</v>
      </c>
      <c r="C13" s="77" t="s">
        <v>155</v>
      </c>
      <c r="D13" s="78" t="s">
        <v>123</v>
      </c>
      <c r="E13" s="78" t="s">
        <v>8</v>
      </c>
      <c r="F13" s="78" t="s">
        <v>26</v>
      </c>
      <c r="G13" s="77">
        <v>5.6</v>
      </c>
      <c r="H13" s="77" t="s">
        <v>10</v>
      </c>
      <c r="I13" s="77" t="s">
        <v>20</v>
      </c>
      <c r="J13" s="77">
        <f>11*J9</f>
        <v>44</v>
      </c>
      <c r="K13" s="77" t="s">
        <v>30</v>
      </c>
      <c r="L13" s="77">
        <f>J13</f>
        <v>44</v>
      </c>
      <c r="M13" s="81">
        <f>J13</f>
        <v>44</v>
      </c>
      <c r="N13" s="80">
        <f>(M13-L13)/L13</f>
        <v>0</v>
      </c>
      <c r="O13" s="641"/>
      <c r="P13" s="356">
        <f t="shared" si="11"/>
        <v>413</v>
      </c>
      <c r="Q13" s="357" t="s">
        <v>34</v>
      </c>
      <c r="R13" s="358" t="str">
        <f t="shared" si="12"/>
        <v>Front Drum</v>
      </c>
      <c r="S13" s="358">
        <v>1</v>
      </c>
      <c r="T13" s="357" t="s">
        <v>34</v>
      </c>
      <c r="U13" s="358" t="str">
        <f t="shared" si="13"/>
        <v>بدنه</v>
      </c>
      <c r="V13" s="359">
        <v>1</v>
      </c>
      <c r="W13" s="357" t="s">
        <v>39</v>
      </c>
      <c r="X13" s="360" t="str">
        <f t="shared" si="14"/>
        <v>413010106</v>
      </c>
      <c r="Y13" s="361" t="str">
        <f t="shared" si="15"/>
        <v>پیچ اتصال کپه ها</v>
      </c>
      <c r="Z13" s="359" t="s">
        <v>26</v>
      </c>
      <c r="AA13" s="359">
        <f t="shared" si="16"/>
        <v>44</v>
      </c>
      <c r="AB13" s="359">
        <f t="shared" si="5"/>
        <v>44</v>
      </c>
      <c r="AC13" s="931">
        <f t="shared" si="6"/>
        <v>44</v>
      </c>
      <c r="AD13" s="10"/>
      <c r="AE13" s="706" t="str">
        <f t="shared" si="17"/>
        <v>413010106</v>
      </c>
      <c r="AF13" s="707" t="str">
        <f t="shared" si="18"/>
        <v>پیچ اتصال کپه ها</v>
      </c>
      <c r="AG13" s="359" t="str">
        <f t="shared" si="19"/>
        <v>Hex Bolt</v>
      </c>
      <c r="AH13" s="359" t="str">
        <f t="shared" ref="AH13:AH71" si="26">F13&amp;"-"&amp;G13&amp;"-"&amp;H13&amp;"-"&amp;I13</f>
        <v>M8x20-5.6-Electroplated-Din 933</v>
      </c>
      <c r="AI13" s="710" t="s">
        <v>415</v>
      </c>
      <c r="AJ13" s="818" t="s">
        <v>109</v>
      </c>
      <c r="AK13" s="708">
        <v>1</v>
      </c>
      <c r="AL13" s="359" t="str">
        <f t="shared" si="25"/>
        <v>Pcs</v>
      </c>
      <c r="AM13" s="709">
        <f t="shared" si="7"/>
        <v>44</v>
      </c>
      <c r="AP13" s="1136" t="s">
        <v>450</v>
      </c>
      <c r="AQ13" s="1136" t="s">
        <v>504</v>
      </c>
      <c r="AR13" s="1136" t="s">
        <v>403</v>
      </c>
      <c r="AS13" s="1136" t="s">
        <v>30</v>
      </c>
      <c r="AT13" s="1162">
        <v>2</v>
      </c>
      <c r="AU13"/>
      <c r="AV13" s="40"/>
      <c r="AW13" s="40"/>
      <c r="AX13" s="33"/>
      <c r="AY13" s="33"/>
      <c r="AZ13" s="33"/>
      <c r="BA13" s="33"/>
      <c r="BB13" s="33"/>
      <c r="BC13" s="33"/>
      <c r="BD13" s="1120" t="str">
        <f t="shared" si="21"/>
        <v>01</v>
      </c>
      <c r="BE13" s="1121" t="str">
        <f t="shared" si="22"/>
        <v>06</v>
      </c>
      <c r="BF13" s="1121" t="str">
        <f t="shared" si="23"/>
        <v>413010106</v>
      </c>
      <c r="BG13" s="1122" t="str">
        <f t="shared" si="8"/>
        <v>Front Drum</v>
      </c>
      <c r="BH13" s="1122">
        <f t="shared" si="9"/>
        <v>1</v>
      </c>
      <c r="BI13" s="1123">
        <f t="shared" si="10"/>
        <v>1</v>
      </c>
      <c r="BJ13" s="33"/>
      <c r="BK13" s="33"/>
      <c r="BL13" s="33"/>
      <c r="BM13" s="33"/>
      <c r="BN13" s="33"/>
      <c r="BO13" s="1128" t="str">
        <f t="shared" si="0"/>
        <v>پیچ تمام حدیده M14*90</v>
      </c>
      <c r="BP13" s="1129" t="str">
        <f t="shared" si="1"/>
        <v>M14x90-5.6-Electroplated-Din 933</v>
      </c>
      <c r="BQ13" s="1122" t="str">
        <f t="shared" si="2"/>
        <v>Pcs</v>
      </c>
      <c r="BR13" s="1122" t="str">
        <f t="shared" si="3"/>
        <v>000011011490</v>
      </c>
      <c r="BS13" s="1163">
        <f t="shared" si="4"/>
        <v>2</v>
      </c>
      <c r="BT13" s="33"/>
      <c r="BU13" s="33"/>
      <c r="BV13" s="33"/>
      <c r="BW13" s="33"/>
      <c r="BX13" s="33"/>
      <c r="BY13" s="33"/>
      <c r="BZ13" s="33"/>
      <c r="CA13" s="33"/>
      <c r="CB13" s="33"/>
      <c r="CC13" s="33"/>
      <c r="CD13" s="33"/>
      <c r="CE13" s="33"/>
      <c r="CF13" s="33"/>
      <c r="CG13" s="33"/>
      <c r="CH13" s="33"/>
      <c r="CI13" s="33"/>
      <c r="CJ13" s="33"/>
      <c r="CK13" s="33"/>
      <c r="CL13" s="33"/>
      <c r="CM13" s="33"/>
      <c r="CN13" s="33"/>
      <c r="CO13" s="33"/>
      <c r="CP13" s="33"/>
      <c r="CQ13" s="33"/>
      <c r="CR13" s="33"/>
      <c r="CS13" s="33"/>
      <c r="CT13" s="33"/>
      <c r="CU13" s="33"/>
      <c r="CV13" s="33"/>
      <c r="CW13" s="33"/>
      <c r="CX13" s="33"/>
      <c r="CY13" s="33"/>
      <c r="CZ13" s="33"/>
    </row>
    <row r="14" spans="1:104" ht="15" x14ac:dyDescent="0.25">
      <c r="A14" s="1171">
        <v>7</v>
      </c>
      <c r="B14" s="77" t="s">
        <v>113</v>
      </c>
      <c r="C14" s="77" t="s">
        <v>155</v>
      </c>
      <c r="D14" s="78" t="s">
        <v>124</v>
      </c>
      <c r="E14" s="78" t="s">
        <v>9</v>
      </c>
      <c r="F14" s="78" t="s">
        <v>27</v>
      </c>
      <c r="G14" s="77">
        <v>5</v>
      </c>
      <c r="H14" s="77" t="s">
        <v>10</v>
      </c>
      <c r="I14" s="77" t="s">
        <v>21</v>
      </c>
      <c r="J14" s="77">
        <f>J13</f>
        <v>44</v>
      </c>
      <c r="K14" s="77" t="s">
        <v>30</v>
      </c>
      <c r="L14" s="77">
        <f>J14</f>
        <v>44</v>
      </c>
      <c r="M14" s="81">
        <f>J14</f>
        <v>44</v>
      </c>
      <c r="N14" s="80">
        <f t="shared" ref="N14:N19" si="27">(M14-L14)/L14</f>
        <v>0</v>
      </c>
      <c r="O14" s="641"/>
      <c r="P14" s="356">
        <f t="shared" si="11"/>
        <v>413</v>
      </c>
      <c r="Q14" s="357" t="s">
        <v>34</v>
      </c>
      <c r="R14" s="358" t="str">
        <f t="shared" si="12"/>
        <v>Front Drum</v>
      </c>
      <c r="S14" s="358">
        <v>1</v>
      </c>
      <c r="T14" s="357" t="s">
        <v>34</v>
      </c>
      <c r="U14" s="358" t="str">
        <f t="shared" si="13"/>
        <v>بدنه</v>
      </c>
      <c r="V14" s="359">
        <v>1</v>
      </c>
      <c r="W14" s="357" t="s">
        <v>40</v>
      </c>
      <c r="X14" s="360" t="str">
        <f t="shared" si="14"/>
        <v>413010107</v>
      </c>
      <c r="Y14" s="361" t="str">
        <f t="shared" si="15"/>
        <v>مهره اتصال کپه ها</v>
      </c>
      <c r="Z14" s="359" t="s">
        <v>27</v>
      </c>
      <c r="AA14" s="359">
        <f t="shared" si="16"/>
        <v>44</v>
      </c>
      <c r="AB14" s="359">
        <f t="shared" si="5"/>
        <v>44</v>
      </c>
      <c r="AC14" s="931">
        <f t="shared" si="6"/>
        <v>44</v>
      </c>
      <c r="AD14" s="10"/>
      <c r="AE14" s="706" t="str">
        <f t="shared" si="17"/>
        <v>413010107</v>
      </c>
      <c r="AF14" s="707" t="str">
        <f t="shared" si="18"/>
        <v>مهره اتصال کپه ها</v>
      </c>
      <c r="AG14" s="359" t="str">
        <f t="shared" si="19"/>
        <v>Hex Nut</v>
      </c>
      <c r="AH14" s="359" t="str">
        <f t="shared" si="26"/>
        <v>M8-5-Electroplated-Din 934</v>
      </c>
      <c r="AI14" s="710" t="s">
        <v>416</v>
      </c>
      <c r="AJ14" s="818" t="s">
        <v>110</v>
      </c>
      <c r="AK14" s="708">
        <v>1</v>
      </c>
      <c r="AL14" s="359" t="str">
        <f t="shared" si="25"/>
        <v>Pcs</v>
      </c>
      <c r="AM14" s="709">
        <f t="shared" si="7"/>
        <v>44</v>
      </c>
      <c r="AN14" s="10"/>
      <c r="AP14" s="1136" t="s">
        <v>441</v>
      </c>
      <c r="AQ14" s="1136" t="s">
        <v>505</v>
      </c>
      <c r="AR14" s="1136" t="s">
        <v>395</v>
      </c>
      <c r="AS14" s="1136" t="s">
        <v>30</v>
      </c>
      <c r="AT14" s="1162">
        <v>4</v>
      </c>
      <c r="AU14"/>
      <c r="AV14" s="40"/>
      <c r="AW14" s="40"/>
      <c r="AX14" s="33"/>
      <c r="AY14" s="33"/>
      <c r="AZ14" s="33"/>
      <c r="BA14" s="33"/>
      <c r="BB14" s="33"/>
      <c r="BC14" s="33"/>
      <c r="BD14" s="1120" t="str">
        <f t="shared" si="21"/>
        <v>01</v>
      </c>
      <c r="BE14" s="1121" t="str">
        <f t="shared" si="22"/>
        <v>07</v>
      </c>
      <c r="BF14" s="1121" t="str">
        <f t="shared" si="23"/>
        <v>413010107</v>
      </c>
      <c r="BG14" s="1122" t="str">
        <f t="shared" si="8"/>
        <v>Front Drum</v>
      </c>
      <c r="BH14" s="1122">
        <f t="shared" si="9"/>
        <v>1</v>
      </c>
      <c r="BI14" s="1123">
        <f t="shared" si="10"/>
        <v>1</v>
      </c>
      <c r="BJ14" s="33"/>
      <c r="BK14" s="33"/>
      <c r="BL14" s="33"/>
      <c r="BM14" s="33"/>
      <c r="BN14" s="33"/>
      <c r="BO14" s="1128" t="str">
        <f t="shared" si="0"/>
        <v>پیچ تمام حدیده M18*70</v>
      </c>
      <c r="BP14" s="1129" t="str">
        <f t="shared" si="1"/>
        <v>M18x70-5.6-Electroplated-Din 933</v>
      </c>
      <c r="BQ14" s="1122" t="str">
        <f t="shared" si="2"/>
        <v>Pcs</v>
      </c>
      <c r="BR14" s="1122" t="str">
        <f t="shared" si="3"/>
        <v>000011011870</v>
      </c>
      <c r="BS14" s="1163">
        <f t="shared" si="4"/>
        <v>4</v>
      </c>
      <c r="BT14" s="33"/>
      <c r="BU14" s="33"/>
      <c r="BV14" s="33"/>
      <c r="BW14" s="33"/>
      <c r="BX14" s="33"/>
      <c r="BY14" s="33"/>
      <c r="BZ14" s="33"/>
      <c r="CA14" s="33"/>
      <c r="CB14" s="33"/>
      <c r="CC14" s="33"/>
      <c r="CD14" s="33"/>
      <c r="CE14" s="33"/>
      <c r="CF14" s="33"/>
      <c r="CG14" s="33"/>
      <c r="CH14" s="33"/>
      <c r="CI14" s="33"/>
      <c r="CJ14" s="33"/>
      <c r="CK14" s="33"/>
      <c r="CL14" s="33"/>
      <c r="CM14" s="33"/>
      <c r="CN14" s="33"/>
      <c r="CO14" s="33"/>
      <c r="CP14" s="33"/>
      <c r="CQ14" s="33"/>
      <c r="CR14" s="33"/>
      <c r="CS14" s="33"/>
      <c r="CT14" s="33"/>
      <c r="CU14" s="33"/>
      <c r="CV14" s="33"/>
      <c r="CW14" s="33"/>
      <c r="CX14" s="33"/>
      <c r="CY14" s="33"/>
      <c r="CZ14" s="33"/>
    </row>
    <row r="15" spans="1:104" ht="15.75" thickBot="1" x14ac:dyDescent="0.3">
      <c r="A15" s="1172">
        <v>8</v>
      </c>
      <c r="B15" s="82" t="s">
        <v>113</v>
      </c>
      <c r="C15" s="82" t="s">
        <v>155</v>
      </c>
      <c r="D15" s="83" t="s">
        <v>125</v>
      </c>
      <c r="E15" s="83" t="s">
        <v>18</v>
      </c>
      <c r="F15" s="83" t="s">
        <v>28</v>
      </c>
      <c r="G15" s="82" t="s">
        <v>24</v>
      </c>
      <c r="H15" s="82" t="s">
        <v>10</v>
      </c>
      <c r="I15" s="82" t="s">
        <v>22</v>
      </c>
      <c r="J15" s="82">
        <f>J14</f>
        <v>44</v>
      </c>
      <c r="K15" s="82" t="s">
        <v>30</v>
      </c>
      <c r="L15" s="82">
        <f>J15</f>
        <v>44</v>
      </c>
      <c r="M15" s="84">
        <f>J15</f>
        <v>44</v>
      </c>
      <c r="N15" s="85">
        <f t="shared" si="27"/>
        <v>0</v>
      </c>
      <c r="O15" s="641"/>
      <c r="P15" s="364">
        <f t="shared" si="11"/>
        <v>413</v>
      </c>
      <c r="Q15" s="365" t="s">
        <v>34</v>
      </c>
      <c r="R15" s="366" t="str">
        <f t="shared" si="12"/>
        <v>Front Drum</v>
      </c>
      <c r="S15" s="366">
        <v>1</v>
      </c>
      <c r="T15" s="365" t="s">
        <v>34</v>
      </c>
      <c r="U15" s="366" t="str">
        <f t="shared" si="13"/>
        <v>بدنه</v>
      </c>
      <c r="V15" s="367">
        <v>1</v>
      </c>
      <c r="W15" s="365" t="s">
        <v>41</v>
      </c>
      <c r="X15" s="368" t="str">
        <f t="shared" si="14"/>
        <v>413010108</v>
      </c>
      <c r="Y15" s="369" t="str">
        <f t="shared" si="15"/>
        <v>واشر فنری اتصال کپه ها</v>
      </c>
      <c r="Z15" s="367" t="s">
        <v>28</v>
      </c>
      <c r="AA15" s="367">
        <f t="shared" si="16"/>
        <v>44</v>
      </c>
      <c r="AB15" s="367">
        <f t="shared" si="5"/>
        <v>44</v>
      </c>
      <c r="AC15" s="932">
        <f t="shared" si="6"/>
        <v>44</v>
      </c>
      <c r="AD15" s="10"/>
      <c r="AE15" s="713" t="str">
        <f t="shared" si="17"/>
        <v>413010108</v>
      </c>
      <c r="AF15" s="714" t="str">
        <f t="shared" si="18"/>
        <v>واشر فنری اتصال کپه ها</v>
      </c>
      <c r="AG15" s="367" t="str">
        <f t="shared" si="19"/>
        <v>Spring Washer</v>
      </c>
      <c r="AH15" s="367" t="str">
        <f t="shared" si="26"/>
        <v>A8-F-Electroplated-Din 127</v>
      </c>
      <c r="AI15" s="715" t="s">
        <v>417</v>
      </c>
      <c r="AJ15" s="823" t="s">
        <v>384</v>
      </c>
      <c r="AK15" s="738">
        <v>1</v>
      </c>
      <c r="AL15" s="367" t="str">
        <f t="shared" si="25"/>
        <v>Pcs</v>
      </c>
      <c r="AM15" s="739">
        <f t="shared" si="7"/>
        <v>44</v>
      </c>
      <c r="AP15" s="1136" t="s">
        <v>423</v>
      </c>
      <c r="AQ15" s="1136" t="s">
        <v>491</v>
      </c>
      <c r="AR15" s="1136" t="s">
        <v>387</v>
      </c>
      <c r="AS15" s="1136" t="s">
        <v>30</v>
      </c>
      <c r="AT15" s="1162">
        <v>6</v>
      </c>
      <c r="AU15"/>
      <c r="AV15" s="40"/>
      <c r="AW15" s="40"/>
      <c r="AX15" s="33"/>
      <c r="AY15" s="33"/>
      <c r="AZ15" s="33"/>
      <c r="BA15" s="33"/>
      <c r="BB15" s="33"/>
      <c r="BC15" s="33"/>
      <c r="BD15" s="1120" t="str">
        <f t="shared" si="21"/>
        <v>01</v>
      </c>
      <c r="BE15" s="1121" t="str">
        <f t="shared" si="22"/>
        <v>08</v>
      </c>
      <c r="BF15" s="1121" t="str">
        <f t="shared" si="23"/>
        <v>413010108</v>
      </c>
      <c r="BG15" s="1122" t="str">
        <f t="shared" si="8"/>
        <v>Front Drum</v>
      </c>
      <c r="BH15" s="1122">
        <f t="shared" si="9"/>
        <v>1</v>
      </c>
      <c r="BI15" s="1123">
        <f t="shared" si="10"/>
        <v>1</v>
      </c>
      <c r="BJ15" s="33"/>
      <c r="BK15" s="33"/>
      <c r="BL15" s="33"/>
      <c r="BM15" s="33"/>
      <c r="BN15" s="33"/>
      <c r="BO15" s="1128" t="str">
        <f t="shared" si="0"/>
        <v>پیچ تمام حدیده M6*100</v>
      </c>
      <c r="BP15" s="1129" t="str">
        <f t="shared" si="1"/>
        <v>M6x100-5.6-Electroplated-Din 933</v>
      </c>
      <c r="BQ15" s="1122" t="str">
        <f t="shared" si="2"/>
        <v>Pcs</v>
      </c>
      <c r="BR15" s="1122" t="str">
        <f t="shared" si="3"/>
        <v>000011010695</v>
      </c>
      <c r="BS15" s="1163">
        <f t="shared" si="4"/>
        <v>6</v>
      </c>
      <c r="BT15" s="33"/>
      <c r="BU15" s="33"/>
      <c r="BV15" s="33"/>
      <c r="BW15" s="33"/>
      <c r="BX15" s="33"/>
      <c r="BY15" s="33"/>
      <c r="BZ15" s="33"/>
      <c r="CA15" s="33"/>
      <c r="CB15" s="33"/>
      <c r="CC15" s="33"/>
      <c r="CD15" s="33"/>
      <c r="CE15" s="33"/>
      <c r="CF15" s="33"/>
      <c r="CG15" s="33"/>
      <c r="CH15" s="33"/>
      <c r="CI15" s="33"/>
      <c r="CJ15" s="33"/>
      <c r="CK15" s="33"/>
      <c r="CL15" s="33"/>
      <c r="CM15" s="33"/>
      <c r="CN15" s="33"/>
      <c r="CO15" s="33"/>
      <c r="CP15" s="33"/>
      <c r="CQ15" s="33"/>
      <c r="CR15" s="33"/>
      <c r="CS15" s="33"/>
      <c r="CT15" s="33"/>
      <c r="CU15" s="33"/>
      <c r="CV15" s="33"/>
      <c r="CW15" s="33"/>
      <c r="CX15" s="33"/>
      <c r="CY15" s="33"/>
      <c r="CZ15" s="33"/>
    </row>
    <row r="16" spans="1:104" ht="15" x14ac:dyDescent="0.25">
      <c r="A16" s="1173">
        <v>9</v>
      </c>
      <c r="B16" s="278" t="s">
        <v>113</v>
      </c>
      <c r="C16" s="278" t="s">
        <v>126</v>
      </c>
      <c r="D16" s="281" t="s">
        <v>528</v>
      </c>
      <c r="E16" s="281" t="s">
        <v>128</v>
      </c>
      <c r="F16" s="281" t="s">
        <v>80</v>
      </c>
      <c r="G16" s="278" t="s">
        <v>2</v>
      </c>
      <c r="H16" s="278" t="s">
        <v>2</v>
      </c>
      <c r="I16" s="278">
        <v>1700</v>
      </c>
      <c r="J16" s="278">
        <f>J9</f>
        <v>4</v>
      </c>
      <c r="K16" s="278" t="s">
        <v>322</v>
      </c>
      <c r="L16" s="278">
        <f>J16</f>
        <v>4</v>
      </c>
      <c r="M16" s="282">
        <f>J16</f>
        <v>4</v>
      </c>
      <c r="N16" s="503">
        <f t="shared" si="27"/>
        <v>0</v>
      </c>
      <c r="O16" s="641"/>
      <c r="P16" s="348">
        <f t="shared" si="11"/>
        <v>413</v>
      </c>
      <c r="Q16" s="41" t="s">
        <v>34</v>
      </c>
      <c r="R16" s="11" t="str">
        <f t="shared" si="12"/>
        <v>Front Drum</v>
      </c>
      <c r="S16" s="11">
        <v>1</v>
      </c>
      <c r="T16" s="41" t="s">
        <v>35</v>
      </c>
      <c r="U16" s="11" t="str">
        <f t="shared" si="13"/>
        <v>نوار خاردار</v>
      </c>
      <c r="V16" s="12">
        <v>1</v>
      </c>
      <c r="W16" s="41" t="s">
        <v>34</v>
      </c>
      <c r="X16" s="329" t="str">
        <f t="shared" si="14"/>
        <v>413010201</v>
      </c>
      <c r="Y16" s="13" t="str">
        <f t="shared" si="15"/>
        <v xml:space="preserve"> نوار خاردار</v>
      </c>
      <c r="Z16" s="12" t="s">
        <v>341</v>
      </c>
      <c r="AA16" s="12">
        <f t="shared" si="16"/>
        <v>4</v>
      </c>
      <c r="AB16" s="12">
        <f t="shared" si="5"/>
        <v>4</v>
      </c>
      <c r="AC16" s="933">
        <f t="shared" si="6"/>
        <v>4</v>
      </c>
      <c r="AD16" s="10"/>
      <c r="AE16" s="30" t="str">
        <f t="shared" si="17"/>
        <v>413010201</v>
      </c>
      <c r="AF16" s="31" t="str">
        <f t="shared" si="18"/>
        <v xml:space="preserve"> نوار خاردار</v>
      </c>
      <c r="AG16" s="12" t="str">
        <f t="shared" si="19"/>
        <v>Flat Bar</v>
      </c>
      <c r="AH16" s="12" t="str">
        <f>F16</f>
        <v>St-37</v>
      </c>
      <c r="AI16" s="716" t="s">
        <v>498</v>
      </c>
      <c r="AJ16" s="819" t="s">
        <v>466</v>
      </c>
      <c r="AK16" s="1145">
        <v>1</v>
      </c>
      <c r="AL16" s="12" t="str">
        <f t="shared" si="25"/>
        <v>pcs</v>
      </c>
      <c r="AM16" s="15">
        <f t="shared" si="7"/>
        <v>4</v>
      </c>
      <c r="AN16" s="10"/>
      <c r="AP16" s="1136" t="s">
        <v>438</v>
      </c>
      <c r="AQ16" s="1136" t="s">
        <v>506</v>
      </c>
      <c r="AR16" s="1136" t="s">
        <v>393</v>
      </c>
      <c r="AS16" s="1136" t="s">
        <v>30</v>
      </c>
      <c r="AT16" s="1162">
        <v>48</v>
      </c>
      <c r="AU16"/>
      <c r="AV16" s="40"/>
      <c r="AW16" s="40"/>
      <c r="AX16" s="33"/>
      <c r="AY16" s="33"/>
      <c r="AZ16" s="33"/>
      <c r="BA16" s="33"/>
      <c r="BB16" s="33"/>
      <c r="BC16" s="33"/>
      <c r="BD16" s="1120" t="str">
        <f t="shared" si="21"/>
        <v>01</v>
      </c>
      <c r="BE16" s="1121" t="str">
        <f t="shared" si="22"/>
        <v>01</v>
      </c>
      <c r="BF16" s="1121" t="str">
        <f t="shared" si="23"/>
        <v>413010201</v>
      </c>
      <c r="BG16" s="1122" t="str">
        <f t="shared" si="8"/>
        <v>Front Drum</v>
      </c>
      <c r="BH16" s="1122">
        <f t="shared" si="9"/>
        <v>1</v>
      </c>
      <c r="BI16" s="1123">
        <f t="shared" si="10"/>
        <v>1</v>
      </c>
      <c r="BJ16" s="33"/>
      <c r="BK16" s="33"/>
      <c r="BL16" s="33"/>
      <c r="BM16" s="33"/>
      <c r="BN16" s="33"/>
      <c r="BO16" s="1128" t="str">
        <f t="shared" si="0"/>
        <v>پیچ تمام حدیده M6*20</v>
      </c>
      <c r="BP16" s="1129" t="str">
        <f t="shared" si="1"/>
        <v>M6x20-5.6-Electroplated-Din 933</v>
      </c>
      <c r="BQ16" s="1122" t="str">
        <f t="shared" si="2"/>
        <v>Pcs</v>
      </c>
      <c r="BR16" s="1122" t="str">
        <f t="shared" si="3"/>
        <v>000011010620</v>
      </c>
      <c r="BS16" s="1163">
        <f t="shared" si="4"/>
        <v>48</v>
      </c>
      <c r="BT16" s="33"/>
      <c r="BU16" s="33"/>
      <c r="BV16" s="33"/>
      <c r="BW16" s="33"/>
      <c r="BX16" s="33"/>
      <c r="BY16" s="33"/>
      <c r="BZ16" s="33"/>
      <c r="CA16" s="33"/>
      <c r="CB16" s="33"/>
      <c r="CC16" s="33"/>
      <c r="CD16" s="33"/>
      <c r="CE16" s="33"/>
      <c r="CF16" s="33"/>
      <c r="CG16" s="33"/>
      <c r="CH16" s="33"/>
      <c r="CI16" s="33"/>
      <c r="CJ16" s="33"/>
      <c r="CK16" s="33"/>
      <c r="CL16" s="33"/>
      <c r="CM16" s="33"/>
      <c r="CN16" s="33"/>
      <c r="CO16" s="33"/>
      <c r="CP16" s="33"/>
      <c r="CQ16" s="33"/>
      <c r="CR16" s="33"/>
      <c r="CS16" s="33"/>
      <c r="CT16" s="33"/>
      <c r="CU16" s="33"/>
      <c r="CV16" s="33"/>
      <c r="CW16" s="33"/>
      <c r="CX16" s="33"/>
      <c r="CY16" s="33"/>
      <c r="CZ16" s="33"/>
    </row>
    <row r="17" spans="1:104" ht="15" x14ac:dyDescent="0.25">
      <c r="A17" s="1171">
        <v>10</v>
      </c>
      <c r="B17" s="67" t="s">
        <v>113</v>
      </c>
      <c r="C17" s="67" t="s">
        <v>126</v>
      </c>
      <c r="D17" s="68" t="s">
        <v>129</v>
      </c>
      <c r="E17" s="68" t="s">
        <v>3</v>
      </c>
      <c r="F17" s="68" t="s">
        <v>527</v>
      </c>
      <c r="G17" s="67">
        <v>1.5</v>
      </c>
      <c r="H17" s="67">
        <v>30</v>
      </c>
      <c r="I17" s="67">
        <v>1700</v>
      </c>
      <c r="J17" s="67">
        <f>J16</f>
        <v>4</v>
      </c>
      <c r="K17" s="67" t="s">
        <v>29</v>
      </c>
      <c r="L17" s="69">
        <f>G17*H17*I17*J17*7.85/1000000</f>
        <v>2.4020999999999999</v>
      </c>
      <c r="M17" s="71">
        <f>((((1000-(INT(1000/H17)*H17))/(INT(1000/H17)))+H17)*G17*I17*J17*7.85)/1000000</f>
        <v>2.4263636363636363</v>
      </c>
      <c r="N17" s="70">
        <f t="shared" si="27"/>
        <v>1.0101010101010107E-2</v>
      </c>
      <c r="O17" s="641"/>
      <c r="P17" s="349">
        <f t="shared" si="11"/>
        <v>413</v>
      </c>
      <c r="Q17" s="43" t="s">
        <v>34</v>
      </c>
      <c r="R17" s="16" t="str">
        <f t="shared" si="12"/>
        <v>Front Drum</v>
      </c>
      <c r="S17" s="16">
        <v>1</v>
      </c>
      <c r="T17" s="43" t="s">
        <v>35</v>
      </c>
      <c r="U17" s="16" t="str">
        <f t="shared" si="13"/>
        <v>نوار خاردار</v>
      </c>
      <c r="V17" s="17">
        <v>1</v>
      </c>
      <c r="W17" s="43" t="s">
        <v>35</v>
      </c>
      <c r="X17" s="328" t="str">
        <f t="shared" si="14"/>
        <v>413010202</v>
      </c>
      <c r="Y17" s="18" t="str">
        <f t="shared" si="15"/>
        <v>صفحه زیر نوار خاردار</v>
      </c>
      <c r="Z17" s="17" t="s">
        <v>342</v>
      </c>
      <c r="AA17" s="17">
        <f t="shared" si="16"/>
        <v>4</v>
      </c>
      <c r="AB17" s="17">
        <f t="shared" si="5"/>
        <v>4</v>
      </c>
      <c r="AC17" s="934">
        <f t="shared" si="6"/>
        <v>4</v>
      </c>
      <c r="AD17" s="10"/>
      <c r="AE17" s="29" t="str">
        <f t="shared" si="17"/>
        <v>413010202</v>
      </c>
      <c r="AF17" s="27" t="str">
        <f t="shared" si="18"/>
        <v>صفحه زیر نوار خاردار</v>
      </c>
      <c r="AG17" s="17" t="str">
        <f t="shared" si="19"/>
        <v>Plate</v>
      </c>
      <c r="AH17" s="17" t="str">
        <f>F17</f>
        <v>St-12</v>
      </c>
      <c r="AI17" s="28" t="s">
        <v>412</v>
      </c>
      <c r="AJ17" s="820" t="s">
        <v>463</v>
      </c>
      <c r="AK17" s="19">
        <f>M17/J17</f>
        <v>0.60659090909090907</v>
      </c>
      <c r="AL17" s="17" t="str">
        <f t="shared" si="25"/>
        <v>Kg</v>
      </c>
      <c r="AM17" s="20">
        <f t="shared" si="7"/>
        <v>2.4263636363636363</v>
      </c>
      <c r="AP17" s="1136" t="s">
        <v>415</v>
      </c>
      <c r="AQ17" s="1136" t="s">
        <v>485</v>
      </c>
      <c r="AR17" s="1136" t="s">
        <v>109</v>
      </c>
      <c r="AS17" s="1136" t="s">
        <v>30</v>
      </c>
      <c r="AT17" s="1162">
        <v>158</v>
      </c>
      <c r="AU17"/>
      <c r="AV17" s="40"/>
      <c r="AW17" s="40"/>
      <c r="AX17" s="33"/>
      <c r="AY17" s="33"/>
      <c r="AZ17" s="33"/>
      <c r="BA17" s="33"/>
      <c r="BB17" s="33"/>
      <c r="BC17" s="33"/>
      <c r="BD17" s="1120" t="str">
        <f t="shared" si="21"/>
        <v>01</v>
      </c>
      <c r="BE17" s="1121" t="str">
        <f t="shared" si="22"/>
        <v>02</v>
      </c>
      <c r="BF17" s="1121" t="str">
        <f t="shared" si="23"/>
        <v>413010202</v>
      </c>
      <c r="BG17" s="1122" t="str">
        <f t="shared" si="8"/>
        <v>Front Drum</v>
      </c>
      <c r="BH17" s="1122">
        <f t="shared" si="9"/>
        <v>1</v>
      </c>
      <c r="BI17" s="1123">
        <f t="shared" si="10"/>
        <v>1</v>
      </c>
      <c r="BJ17" s="33"/>
      <c r="BK17" s="33"/>
      <c r="BL17" s="33"/>
      <c r="BM17" s="33"/>
      <c r="BN17" s="33"/>
      <c r="BO17" s="1128" t="str">
        <f t="shared" si="0"/>
        <v>پیچ تمام حدیده M8*20</v>
      </c>
      <c r="BP17" s="1129" t="str">
        <f t="shared" si="1"/>
        <v>M8x20-5.6-Electroplated-Din 933</v>
      </c>
      <c r="BQ17" s="1122" t="str">
        <f t="shared" si="2"/>
        <v>Pcs</v>
      </c>
      <c r="BR17" s="1122" t="str">
        <f t="shared" si="3"/>
        <v>000011010820</v>
      </c>
      <c r="BS17" s="1163">
        <f t="shared" si="4"/>
        <v>158</v>
      </c>
      <c r="BT17" s="33"/>
      <c r="BU17" s="33"/>
      <c r="BV17" s="33"/>
      <c r="BW17" s="33"/>
      <c r="BX17" s="33"/>
      <c r="BY17" s="33"/>
      <c r="BZ17" s="33"/>
      <c r="CA17" s="33"/>
      <c r="CB17" s="33"/>
      <c r="CC17" s="33"/>
      <c r="CD17" s="33"/>
      <c r="CE17" s="33"/>
      <c r="CF17" s="33"/>
      <c r="CG17" s="33"/>
      <c r="CH17" s="33"/>
      <c r="CI17" s="33"/>
      <c r="CJ17" s="33"/>
      <c r="CK17" s="33"/>
      <c r="CL17" s="33"/>
      <c r="CM17" s="33"/>
      <c r="CN17" s="33"/>
      <c r="CO17" s="33"/>
      <c r="CP17" s="33"/>
      <c r="CQ17" s="33"/>
      <c r="CR17" s="33"/>
      <c r="CS17" s="33"/>
      <c r="CT17" s="33"/>
      <c r="CU17" s="33"/>
      <c r="CV17" s="33"/>
      <c r="CW17" s="33"/>
      <c r="CX17" s="33"/>
      <c r="CY17" s="33"/>
      <c r="CZ17" s="33"/>
    </row>
    <row r="18" spans="1:104" ht="15" x14ac:dyDescent="0.25">
      <c r="A18" s="1171">
        <v>11</v>
      </c>
      <c r="B18" s="67" t="s">
        <v>113</v>
      </c>
      <c r="C18" s="67" t="s">
        <v>126</v>
      </c>
      <c r="D18" s="68" t="s">
        <v>130</v>
      </c>
      <c r="E18" s="68" t="s">
        <v>131</v>
      </c>
      <c r="F18" s="68" t="s">
        <v>132</v>
      </c>
      <c r="G18" s="67">
        <v>5.6</v>
      </c>
      <c r="H18" s="67" t="s">
        <v>10</v>
      </c>
      <c r="I18" s="67" t="s">
        <v>529</v>
      </c>
      <c r="J18" s="67">
        <f>J17*7</f>
        <v>28</v>
      </c>
      <c r="K18" s="67" t="s">
        <v>30</v>
      </c>
      <c r="L18" s="67">
        <f>J18</f>
        <v>28</v>
      </c>
      <c r="M18" s="71">
        <f>J18</f>
        <v>28</v>
      </c>
      <c r="N18" s="70">
        <f t="shared" si="27"/>
        <v>0</v>
      </c>
      <c r="O18" s="641"/>
      <c r="P18" s="349">
        <f t="shared" si="11"/>
        <v>413</v>
      </c>
      <c r="Q18" s="43" t="s">
        <v>34</v>
      </c>
      <c r="R18" s="16" t="str">
        <f t="shared" si="12"/>
        <v>Front Drum</v>
      </c>
      <c r="S18" s="16">
        <v>1</v>
      </c>
      <c r="T18" s="43" t="s">
        <v>35</v>
      </c>
      <c r="U18" s="16" t="str">
        <f t="shared" si="13"/>
        <v>نوار خاردار</v>
      </c>
      <c r="V18" s="17">
        <v>1</v>
      </c>
      <c r="W18" s="43" t="s">
        <v>36</v>
      </c>
      <c r="X18" s="328" t="str">
        <f t="shared" si="14"/>
        <v>413010203</v>
      </c>
      <c r="Y18" s="18" t="str">
        <f t="shared" si="15"/>
        <v>پیچ ورشو نوار خاردار</v>
      </c>
      <c r="Z18" s="17" t="s">
        <v>343</v>
      </c>
      <c r="AA18" s="17">
        <f t="shared" si="16"/>
        <v>28</v>
      </c>
      <c r="AB18" s="17">
        <f t="shared" si="5"/>
        <v>28</v>
      </c>
      <c r="AC18" s="934">
        <f t="shared" si="6"/>
        <v>28</v>
      </c>
      <c r="AD18" s="10"/>
      <c r="AE18" s="29" t="str">
        <f t="shared" si="17"/>
        <v>413010203</v>
      </c>
      <c r="AF18" s="27" t="str">
        <f t="shared" si="18"/>
        <v>پیچ ورشو نوار خاردار</v>
      </c>
      <c r="AG18" s="17" t="str">
        <f t="shared" si="19"/>
        <v>Self Threaded Bolt</v>
      </c>
      <c r="AH18" s="17" t="str">
        <f t="shared" si="26"/>
        <v>M1/4"x30-5.6-Electroplated-Din 7972</v>
      </c>
      <c r="AI18" s="28" t="s">
        <v>418</v>
      </c>
      <c r="AJ18" s="820" t="s">
        <v>385</v>
      </c>
      <c r="AK18" s="19">
        <v>1</v>
      </c>
      <c r="AL18" s="17" t="str">
        <f t="shared" si="25"/>
        <v>Pcs</v>
      </c>
      <c r="AM18" s="20">
        <f t="shared" si="7"/>
        <v>28</v>
      </c>
      <c r="AN18" s="10"/>
      <c r="AP18" s="1136" t="s">
        <v>433</v>
      </c>
      <c r="AQ18" s="1136" t="s">
        <v>495</v>
      </c>
      <c r="AR18" s="1136" t="s">
        <v>392</v>
      </c>
      <c r="AS18" s="1136" t="s">
        <v>30</v>
      </c>
      <c r="AT18" s="1162">
        <v>22</v>
      </c>
      <c r="AU18"/>
      <c r="AV18" s="40"/>
      <c r="AW18" s="40"/>
      <c r="AX18" s="33"/>
      <c r="AY18" s="33"/>
      <c r="AZ18" s="33"/>
      <c r="BA18" s="33"/>
      <c r="BB18" s="33"/>
      <c r="BC18" s="33"/>
      <c r="BD18" s="1120" t="str">
        <f t="shared" si="21"/>
        <v>01</v>
      </c>
      <c r="BE18" s="1121" t="str">
        <f t="shared" si="22"/>
        <v>03</v>
      </c>
      <c r="BF18" s="1121" t="str">
        <f t="shared" si="23"/>
        <v>413010203</v>
      </c>
      <c r="BG18" s="1122" t="str">
        <f t="shared" si="8"/>
        <v>Front Drum</v>
      </c>
      <c r="BH18" s="1122">
        <f t="shared" si="9"/>
        <v>1</v>
      </c>
      <c r="BI18" s="1123">
        <f t="shared" si="10"/>
        <v>1</v>
      </c>
      <c r="BJ18" s="33"/>
      <c r="BK18" s="33"/>
      <c r="BL18" s="33"/>
      <c r="BM18" s="33"/>
      <c r="BN18" s="33"/>
      <c r="BO18" s="1128" t="str">
        <f t="shared" si="0"/>
        <v>پیچ تمام حدیده M8*30</v>
      </c>
      <c r="BP18" s="1129" t="str">
        <f t="shared" si="1"/>
        <v>M8x30-5.6-Electroplated-Din 933</v>
      </c>
      <c r="BQ18" s="1122" t="str">
        <f t="shared" si="2"/>
        <v>Pcs</v>
      </c>
      <c r="BR18" s="1122" t="str">
        <f t="shared" si="3"/>
        <v>000011010830</v>
      </c>
      <c r="BS18" s="1163">
        <f t="shared" si="4"/>
        <v>22</v>
      </c>
      <c r="BT18" s="33"/>
      <c r="BU18" s="33"/>
      <c r="BV18" s="33"/>
      <c r="BW18" s="33"/>
      <c r="BX18" s="33"/>
      <c r="BY18" s="33"/>
      <c r="BZ18" s="33"/>
      <c r="CA18" s="33"/>
      <c r="CB18" s="33"/>
      <c r="CC18" s="33"/>
      <c r="CD18" s="33"/>
      <c r="CE18" s="33"/>
      <c r="CF18" s="33"/>
      <c r="CG18" s="33"/>
      <c r="CH18" s="33"/>
      <c r="CI18" s="33"/>
      <c r="CJ18" s="33"/>
      <c r="CK18" s="33"/>
      <c r="CL18" s="33"/>
      <c r="CM18" s="33"/>
      <c r="CN18" s="33"/>
      <c r="CO18" s="33"/>
      <c r="CP18" s="33"/>
      <c r="CQ18" s="33"/>
      <c r="CR18" s="33"/>
      <c r="CS18" s="33"/>
      <c r="CT18" s="33"/>
      <c r="CU18" s="33"/>
      <c r="CV18" s="33"/>
      <c r="CW18" s="33"/>
      <c r="CX18" s="33"/>
      <c r="CY18" s="33"/>
      <c r="CZ18" s="33"/>
    </row>
    <row r="19" spans="1:104" ht="15.75" thickBot="1" x14ac:dyDescent="0.3">
      <c r="A19" s="1174">
        <v>12</v>
      </c>
      <c r="B19" s="287" t="s">
        <v>113</v>
      </c>
      <c r="C19" s="287" t="s">
        <v>126</v>
      </c>
      <c r="D19" s="288" t="s">
        <v>134</v>
      </c>
      <c r="E19" s="288" t="s">
        <v>3</v>
      </c>
      <c r="F19" s="288" t="s">
        <v>4</v>
      </c>
      <c r="G19" s="287">
        <v>1.5</v>
      </c>
      <c r="H19" s="287">
        <v>100</v>
      </c>
      <c r="I19" s="287">
        <v>1700</v>
      </c>
      <c r="J19" s="287">
        <f>J16</f>
        <v>4</v>
      </c>
      <c r="K19" s="287" t="s">
        <v>29</v>
      </c>
      <c r="L19" s="289">
        <f>G19*H19*I19*J19*7.85/1000000</f>
        <v>8.0069999999999997</v>
      </c>
      <c r="M19" s="289">
        <f>((((1000-(INT(1000/H19)*H19))/(INT(1000/H19)))+H19)*G19*I19*J19*7.85)/1000000</f>
        <v>8.0069999999999997</v>
      </c>
      <c r="N19" s="292">
        <f t="shared" si="27"/>
        <v>0</v>
      </c>
      <c r="O19" s="641"/>
      <c r="P19" s="391">
        <f t="shared" si="11"/>
        <v>413</v>
      </c>
      <c r="Q19" s="392" t="s">
        <v>34</v>
      </c>
      <c r="R19" s="393" t="str">
        <f t="shared" si="12"/>
        <v>Front Drum</v>
      </c>
      <c r="S19" s="393">
        <v>1</v>
      </c>
      <c r="T19" s="392" t="s">
        <v>35</v>
      </c>
      <c r="U19" s="393" t="str">
        <f t="shared" si="13"/>
        <v>نوار خاردار</v>
      </c>
      <c r="V19" s="394">
        <v>1</v>
      </c>
      <c r="W19" s="392" t="s">
        <v>37</v>
      </c>
      <c r="X19" s="395" t="str">
        <f t="shared" si="14"/>
        <v>413010204</v>
      </c>
      <c r="Y19" s="396" t="str">
        <f t="shared" si="15"/>
        <v>تسمه کلیدی</v>
      </c>
      <c r="Z19" s="394" t="s">
        <v>344</v>
      </c>
      <c r="AA19" s="394">
        <f t="shared" si="16"/>
        <v>4</v>
      </c>
      <c r="AB19" s="394">
        <f t="shared" si="5"/>
        <v>4</v>
      </c>
      <c r="AC19" s="935">
        <f t="shared" si="6"/>
        <v>4</v>
      </c>
      <c r="AD19" s="10"/>
      <c r="AE19" s="723" t="str">
        <f t="shared" si="17"/>
        <v>413010204</v>
      </c>
      <c r="AF19" s="724" t="str">
        <f t="shared" si="18"/>
        <v>تسمه کلیدی</v>
      </c>
      <c r="AG19" s="394" t="str">
        <f t="shared" si="19"/>
        <v>Plate</v>
      </c>
      <c r="AH19" s="394" t="str">
        <f>F19</f>
        <v>H.D.G</v>
      </c>
      <c r="AI19" s="725" t="s">
        <v>419</v>
      </c>
      <c r="AJ19" s="821" t="s">
        <v>467</v>
      </c>
      <c r="AK19" s="876">
        <f>M19/J19</f>
        <v>2.0017499999999999</v>
      </c>
      <c r="AL19" s="394" t="str">
        <f t="shared" si="25"/>
        <v>Kg</v>
      </c>
      <c r="AM19" s="919">
        <f t="shared" si="7"/>
        <v>8.0069999999999997</v>
      </c>
      <c r="AP19" s="1136" t="s">
        <v>422</v>
      </c>
      <c r="AQ19" s="1136" t="s">
        <v>490</v>
      </c>
      <c r="AR19" s="1136" t="s">
        <v>386</v>
      </c>
      <c r="AS19" s="1136" t="s">
        <v>30</v>
      </c>
      <c r="AT19" s="1162">
        <v>12</v>
      </c>
      <c r="AU19"/>
      <c r="AV19" s="40"/>
      <c r="AW19" s="40"/>
      <c r="AX19" s="33"/>
      <c r="AY19" s="33"/>
      <c r="AZ19" s="33"/>
      <c r="BA19" s="33"/>
      <c r="BB19" s="33"/>
      <c r="BC19" s="33"/>
      <c r="BD19" s="1120" t="str">
        <f t="shared" si="21"/>
        <v>01</v>
      </c>
      <c r="BE19" s="1121" t="str">
        <f t="shared" si="22"/>
        <v>04</v>
      </c>
      <c r="BF19" s="1121" t="str">
        <f t="shared" si="23"/>
        <v>413010204</v>
      </c>
      <c r="BG19" s="1122" t="str">
        <f t="shared" si="8"/>
        <v>Front Drum</v>
      </c>
      <c r="BH19" s="1122">
        <f t="shared" si="9"/>
        <v>1</v>
      </c>
      <c r="BI19" s="1123">
        <f t="shared" si="10"/>
        <v>1</v>
      </c>
      <c r="BJ19" s="33"/>
      <c r="BK19" s="33"/>
      <c r="BL19" s="33"/>
      <c r="BM19" s="33"/>
      <c r="BN19" s="33"/>
      <c r="BO19" s="1128" t="str">
        <f t="shared" si="0"/>
        <v>پیچ سرگرد دوسو 10*1/4</v>
      </c>
      <c r="BP19" s="1129" t="str">
        <f t="shared" si="1"/>
        <v>M1/4"x10-5.6-Electroplated-Din 7983</v>
      </c>
      <c r="BQ19" s="1122" t="str">
        <f t="shared" si="2"/>
        <v>Pcs</v>
      </c>
      <c r="BR19" s="1122" t="str">
        <f t="shared" si="3"/>
        <v>000013081410</v>
      </c>
      <c r="BS19" s="1163">
        <f t="shared" si="4"/>
        <v>12</v>
      </c>
      <c r="BT19" s="33"/>
      <c r="BU19" s="33"/>
      <c r="BV19" s="33"/>
      <c r="BW19" s="33"/>
      <c r="BX19" s="33"/>
      <c r="BY19" s="33"/>
      <c r="BZ19" s="33"/>
      <c r="CA19" s="33"/>
      <c r="CB19" s="33"/>
      <c r="CC19" s="33"/>
      <c r="CD19" s="33"/>
      <c r="CE19" s="33"/>
      <c r="CF19" s="33"/>
      <c r="CG19" s="33"/>
      <c r="CH19" s="33"/>
      <c r="CI19" s="33"/>
      <c r="CJ19" s="33"/>
      <c r="CK19" s="33"/>
      <c r="CL19" s="33"/>
      <c r="CM19" s="33"/>
      <c r="CN19" s="33"/>
      <c r="CO19" s="33"/>
      <c r="CP19" s="33"/>
      <c r="CQ19" s="33"/>
      <c r="CR19" s="33"/>
      <c r="CS19" s="33"/>
      <c r="CT19" s="33"/>
      <c r="CU19" s="33"/>
      <c r="CV19" s="33"/>
      <c r="CW19" s="33"/>
      <c r="CX19" s="33"/>
      <c r="CY19" s="33"/>
      <c r="CZ19" s="33"/>
    </row>
    <row r="20" spans="1:104" ht="15" x14ac:dyDescent="0.25">
      <c r="A20" s="1170">
        <v>13</v>
      </c>
      <c r="B20" s="74" t="s">
        <v>113</v>
      </c>
      <c r="C20" s="74" t="s">
        <v>135</v>
      </c>
      <c r="D20" s="73" t="s">
        <v>135</v>
      </c>
      <c r="E20" s="73" t="s">
        <v>128</v>
      </c>
      <c r="F20" s="73" t="s">
        <v>4</v>
      </c>
      <c r="G20" s="74">
        <v>1</v>
      </c>
      <c r="H20" s="74">
        <v>32</v>
      </c>
      <c r="I20" s="74">
        <f>IF($E$1=1500,5000,IF($E$1=2000,6500,IF($E$1=2500,8000,9600)))</f>
        <v>6500</v>
      </c>
      <c r="J20" s="74">
        <v>2</v>
      </c>
      <c r="K20" s="74" t="s">
        <v>29</v>
      </c>
      <c r="L20" s="75">
        <f>J20*G20*H20*I20*7.85/1000000</f>
        <v>3.2656000000000001</v>
      </c>
      <c r="M20" s="75">
        <f>((((1250-(INT(1250/H20)*H20))/(INT(1250/H20)))+H20)*G20*I20*J20*7.85)/1000000</f>
        <v>3.2708333333333335</v>
      </c>
      <c r="N20" s="76">
        <f t="shared" ref="N20:N28" si="28">(M20-L20)/L20</f>
        <v>1.60256410256413E-3</v>
      </c>
      <c r="O20" s="641"/>
      <c r="P20" s="350">
        <f t="shared" si="11"/>
        <v>413</v>
      </c>
      <c r="Q20" s="351" t="s">
        <v>34</v>
      </c>
      <c r="R20" s="352" t="str">
        <f t="shared" si="12"/>
        <v>Front Drum</v>
      </c>
      <c r="S20" s="352">
        <v>1</v>
      </c>
      <c r="T20" s="351" t="s">
        <v>36</v>
      </c>
      <c r="U20" s="352" t="str">
        <f t="shared" si="13"/>
        <v>تسمه نوار عرضی</v>
      </c>
      <c r="V20" s="353">
        <v>1</v>
      </c>
      <c r="W20" s="351" t="s">
        <v>34</v>
      </c>
      <c r="X20" s="354" t="str">
        <f t="shared" si="14"/>
        <v>413010301</v>
      </c>
      <c r="Y20" s="355" t="str">
        <f t="shared" si="15"/>
        <v>تسمه نوار عرضی</v>
      </c>
      <c r="Z20" s="353" t="str">
        <f>IF(E1=1500,"1x32x5000",IF(E1=2000,"1x32x6500",IF(E1=2500,"1x32x8000","1x32x9600")))</f>
        <v>1x32x6500</v>
      </c>
      <c r="AA20" s="353">
        <f t="shared" si="16"/>
        <v>2</v>
      </c>
      <c r="AB20" s="353">
        <f t="shared" si="5"/>
        <v>2</v>
      </c>
      <c r="AC20" s="936">
        <f t="shared" si="6"/>
        <v>2</v>
      </c>
      <c r="AD20" s="10"/>
      <c r="AE20" s="702" t="str">
        <f t="shared" si="17"/>
        <v>413010301</v>
      </c>
      <c r="AF20" s="703" t="str">
        <f t="shared" si="18"/>
        <v>تسمه نوار عرضی</v>
      </c>
      <c r="AG20" s="353" t="str">
        <f t="shared" si="19"/>
        <v>Flat Bar</v>
      </c>
      <c r="AH20" s="353" t="str">
        <f>F20</f>
        <v>H.D.G</v>
      </c>
      <c r="AI20" s="726" t="s">
        <v>420</v>
      </c>
      <c r="AJ20" s="822" t="s">
        <v>468</v>
      </c>
      <c r="AK20" s="704">
        <f>M20/J20</f>
        <v>1.6354166666666667</v>
      </c>
      <c r="AL20" s="353" t="str">
        <f t="shared" si="25"/>
        <v>Kg</v>
      </c>
      <c r="AM20" s="727">
        <f t="shared" si="7"/>
        <v>3.2708333333333335</v>
      </c>
      <c r="AN20" s="10"/>
      <c r="AP20" s="1136" t="s">
        <v>418</v>
      </c>
      <c r="AQ20" s="1136" t="s">
        <v>489</v>
      </c>
      <c r="AR20" s="1136" t="s">
        <v>385</v>
      </c>
      <c r="AS20" s="1136" t="s">
        <v>30</v>
      </c>
      <c r="AT20" s="1162">
        <v>84</v>
      </c>
      <c r="AU20"/>
      <c r="AV20" s="40"/>
      <c r="AW20" s="40"/>
      <c r="AX20" s="33"/>
      <c r="AY20" s="33"/>
      <c r="AZ20" s="33"/>
      <c r="BA20" s="33"/>
      <c r="BB20" s="33"/>
      <c r="BC20" s="33"/>
      <c r="BD20" s="1120" t="str">
        <f t="shared" si="21"/>
        <v>01</v>
      </c>
      <c r="BE20" s="1121" t="str">
        <f t="shared" si="22"/>
        <v>01</v>
      </c>
      <c r="BF20" s="1121" t="str">
        <f t="shared" si="23"/>
        <v>413010301</v>
      </c>
      <c r="BG20" s="1122" t="str">
        <f t="shared" si="8"/>
        <v>Front Drum</v>
      </c>
      <c r="BH20" s="1122">
        <f t="shared" si="9"/>
        <v>1</v>
      </c>
      <c r="BI20" s="1123">
        <f t="shared" si="10"/>
        <v>1</v>
      </c>
      <c r="BJ20" s="33"/>
      <c r="BK20" s="33"/>
      <c r="BL20" s="33"/>
      <c r="BM20" s="33"/>
      <c r="BN20" s="33"/>
      <c r="BO20" s="1128" t="str">
        <f t="shared" si="0"/>
        <v>پیچ سرگرد دوسو 30*1/4</v>
      </c>
      <c r="BP20" s="1129" t="str">
        <f t="shared" si="1"/>
        <v>M1/4"x30-5.6-Electroplated-Din 7983</v>
      </c>
      <c r="BQ20" s="1122" t="str">
        <f t="shared" si="2"/>
        <v>Pcs</v>
      </c>
      <c r="BR20" s="1122" t="str">
        <f t="shared" si="3"/>
        <v>000013081430</v>
      </c>
      <c r="BS20" s="1163">
        <f t="shared" si="4"/>
        <v>84</v>
      </c>
      <c r="BT20" s="33"/>
      <c r="BU20" s="33"/>
      <c r="BV20" s="33"/>
      <c r="BW20" s="33"/>
      <c r="BX20" s="33"/>
      <c r="BY20" s="33"/>
      <c r="BZ20" s="33"/>
      <c r="CA20" s="33"/>
      <c r="CB20" s="33"/>
      <c r="CC20" s="33"/>
      <c r="CD20" s="33"/>
      <c r="CE20" s="33"/>
      <c r="CF20" s="33"/>
      <c r="CG20" s="33"/>
      <c r="CH20" s="33"/>
      <c r="CI20" s="33"/>
      <c r="CJ20" s="33"/>
      <c r="CK20" s="33"/>
      <c r="CL20" s="33"/>
      <c r="CM20" s="33"/>
      <c r="CN20" s="33"/>
      <c r="CO20" s="33"/>
      <c r="CP20" s="33"/>
      <c r="CQ20" s="33"/>
      <c r="CR20" s="33"/>
      <c r="CS20" s="33"/>
      <c r="CT20" s="33"/>
      <c r="CU20" s="33"/>
      <c r="CV20" s="33"/>
      <c r="CW20" s="33"/>
      <c r="CX20" s="33"/>
      <c r="CY20" s="33"/>
      <c r="CZ20" s="33"/>
    </row>
    <row r="21" spans="1:104" ht="15" x14ac:dyDescent="0.25">
      <c r="A21" s="1171">
        <v>14</v>
      </c>
      <c r="B21" s="77" t="s">
        <v>113</v>
      </c>
      <c r="C21" s="77" t="s">
        <v>135</v>
      </c>
      <c r="D21" s="78" t="s">
        <v>136</v>
      </c>
      <c r="E21" s="78" t="s">
        <v>137</v>
      </c>
      <c r="F21" s="78" t="s">
        <v>232</v>
      </c>
      <c r="G21" s="77">
        <v>3</v>
      </c>
      <c r="H21" s="77">
        <v>30</v>
      </c>
      <c r="I21" s="77">
        <v>30</v>
      </c>
      <c r="J21" s="77">
        <v>8</v>
      </c>
      <c r="K21" s="77" t="s">
        <v>29</v>
      </c>
      <c r="L21" s="79">
        <f>G21*55*I21*7.85*J21/1000000</f>
        <v>0.31086000000000003</v>
      </c>
      <c r="M21" s="79">
        <f>(((6000-(INT(6000/I21)*I21))/(INT(6000/I21)))+I21)*55*G21*J21*7.85/1000000</f>
        <v>0.31086000000000003</v>
      </c>
      <c r="N21" s="80">
        <f t="shared" si="28"/>
        <v>0</v>
      </c>
      <c r="O21" s="641"/>
      <c r="P21" s="356">
        <f t="shared" si="11"/>
        <v>413</v>
      </c>
      <c r="Q21" s="357" t="s">
        <v>34</v>
      </c>
      <c r="R21" s="358" t="str">
        <f t="shared" si="12"/>
        <v>Front Drum</v>
      </c>
      <c r="S21" s="358">
        <v>1</v>
      </c>
      <c r="T21" s="357" t="s">
        <v>36</v>
      </c>
      <c r="U21" s="358" t="str">
        <f t="shared" si="13"/>
        <v>تسمه نوار عرضی</v>
      </c>
      <c r="V21" s="359">
        <v>1</v>
      </c>
      <c r="W21" s="357" t="s">
        <v>35</v>
      </c>
      <c r="X21" s="360" t="str">
        <f t="shared" si="14"/>
        <v>413010302</v>
      </c>
      <c r="Y21" s="361" t="str">
        <f t="shared" si="15"/>
        <v>بست تسمه نوار عرضی</v>
      </c>
      <c r="Z21" s="359" t="s">
        <v>345</v>
      </c>
      <c r="AA21" s="359">
        <f t="shared" si="16"/>
        <v>8</v>
      </c>
      <c r="AB21" s="359">
        <f t="shared" si="5"/>
        <v>8</v>
      </c>
      <c r="AC21" s="931">
        <f t="shared" si="6"/>
        <v>8</v>
      </c>
      <c r="AD21" s="10"/>
      <c r="AE21" s="706" t="str">
        <f t="shared" si="17"/>
        <v>413010302</v>
      </c>
      <c r="AF21" s="707" t="str">
        <f t="shared" si="18"/>
        <v>بست تسمه نوار عرضی</v>
      </c>
      <c r="AG21" s="359" t="str">
        <f t="shared" si="19"/>
        <v>Angle 30x30</v>
      </c>
      <c r="AH21" s="359" t="str">
        <f>F21</f>
        <v>A-36</v>
      </c>
      <c r="AI21" s="728" t="s">
        <v>421</v>
      </c>
      <c r="AJ21" s="818" t="s">
        <v>469</v>
      </c>
      <c r="AK21" s="708">
        <f>M21/J21</f>
        <v>3.8857500000000003E-2</v>
      </c>
      <c r="AL21" s="359" t="str">
        <f t="shared" si="25"/>
        <v>Kg</v>
      </c>
      <c r="AM21" s="730">
        <f t="shared" si="7"/>
        <v>0.31086000000000003</v>
      </c>
      <c r="AP21" s="1136" t="s">
        <v>453</v>
      </c>
      <c r="AQ21" s="1136" t="s">
        <v>508</v>
      </c>
      <c r="AR21" s="1136" t="s">
        <v>405</v>
      </c>
      <c r="AS21" s="1136" t="s">
        <v>30</v>
      </c>
      <c r="AT21" s="1162">
        <v>36</v>
      </c>
      <c r="AU21"/>
      <c r="AV21" s="40"/>
      <c r="AW21" s="40"/>
      <c r="AX21" s="33"/>
      <c r="AY21" s="33"/>
      <c r="AZ21" s="33"/>
      <c r="BA21" s="33"/>
      <c r="BB21" s="33"/>
      <c r="BC21" s="33"/>
      <c r="BD21" s="1120" t="str">
        <f t="shared" si="21"/>
        <v>01</v>
      </c>
      <c r="BE21" s="1121" t="str">
        <f t="shared" si="22"/>
        <v>02</v>
      </c>
      <c r="BF21" s="1121" t="str">
        <f t="shared" si="23"/>
        <v>413010302</v>
      </c>
      <c r="BG21" s="1122" t="str">
        <f t="shared" si="8"/>
        <v>Front Drum</v>
      </c>
      <c r="BH21" s="1122">
        <f t="shared" si="9"/>
        <v>1</v>
      </c>
      <c r="BI21" s="1123">
        <f t="shared" si="10"/>
        <v>1</v>
      </c>
      <c r="BJ21" s="33"/>
      <c r="BK21" s="33"/>
      <c r="BL21" s="33"/>
      <c r="BM21" s="33"/>
      <c r="BN21" s="33"/>
      <c r="BO21" s="1128" t="str">
        <f t="shared" si="0"/>
        <v>پیچ ورشو تمام حدیده</v>
      </c>
      <c r="BP21" s="1129" t="str">
        <f t="shared" si="1"/>
        <v>M1/4"x25-5.6-Electroplated-Din 7983</v>
      </c>
      <c r="BQ21" s="1122" t="str">
        <f t="shared" si="2"/>
        <v>Pcs</v>
      </c>
      <c r="BR21" s="1122" t="str">
        <f t="shared" si="3"/>
        <v>000013081425</v>
      </c>
      <c r="BS21" s="1163">
        <f t="shared" si="4"/>
        <v>36</v>
      </c>
      <c r="BT21" s="33"/>
      <c r="BU21" s="33"/>
      <c r="BV21" s="33"/>
      <c r="BW21" s="33"/>
      <c r="BX21" s="33"/>
      <c r="BY21" s="33"/>
      <c r="BZ21" s="33"/>
      <c r="CA21" s="33"/>
      <c r="CB21" s="33"/>
      <c r="CC21" s="33"/>
      <c r="CD21" s="33"/>
      <c r="CE21" s="33"/>
      <c r="CF21" s="33"/>
      <c r="CG21" s="33"/>
      <c r="CH21" s="33"/>
      <c r="CI21" s="33"/>
      <c r="CJ21" s="33"/>
      <c r="CK21" s="33"/>
      <c r="CL21" s="33"/>
      <c r="CM21" s="33"/>
      <c r="CN21" s="33"/>
      <c r="CO21" s="33"/>
      <c r="CP21" s="33"/>
      <c r="CQ21" s="33"/>
      <c r="CR21" s="33"/>
      <c r="CS21" s="33"/>
      <c r="CT21" s="33"/>
      <c r="CU21" s="33"/>
      <c r="CV21" s="33"/>
      <c r="CW21" s="33"/>
      <c r="CX21" s="33"/>
      <c r="CY21" s="33"/>
      <c r="CZ21" s="33"/>
    </row>
    <row r="22" spans="1:104" ht="15" x14ac:dyDescent="0.25">
      <c r="A22" s="1171">
        <v>15</v>
      </c>
      <c r="B22" s="77" t="s">
        <v>113</v>
      </c>
      <c r="C22" s="77" t="s">
        <v>135</v>
      </c>
      <c r="D22" s="78" t="s">
        <v>138</v>
      </c>
      <c r="E22" s="78" t="s">
        <v>131</v>
      </c>
      <c r="F22" s="1175" t="s">
        <v>139</v>
      </c>
      <c r="G22" s="77">
        <v>5.6</v>
      </c>
      <c r="H22" s="77" t="s">
        <v>10</v>
      </c>
      <c r="I22" s="77" t="s">
        <v>529</v>
      </c>
      <c r="J22" s="1176">
        <v>4</v>
      </c>
      <c r="K22" s="77" t="s">
        <v>30</v>
      </c>
      <c r="L22" s="90">
        <f>J22</f>
        <v>4</v>
      </c>
      <c r="M22" s="90">
        <f>J22</f>
        <v>4</v>
      </c>
      <c r="N22" s="80">
        <f t="shared" si="28"/>
        <v>0</v>
      </c>
      <c r="O22" s="641"/>
      <c r="P22" s="356">
        <f t="shared" si="11"/>
        <v>413</v>
      </c>
      <c r="Q22" s="357" t="s">
        <v>34</v>
      </c>
      <c r="R22" s="358" t="str">
        <f t="shared" si="12"/>
        <v>Front Drum</v>
      </c>
      <c r="S22" s="358">
        <v>1</v>
      </c>
      <c r="T22" s="357" t="s">
        <v>36</v>
      </c>
      <c r="U22" s="358" t="str">
        <f t="shared" si="13"/>
        <v>تسمه نوار عرضی</v>
      </c>
      <c r="V22" s="359">
        <v>1</v>
      </c>
      <c r="W22" s="357" t="s">
        <v>36</v>
      </c>
      <c r="X22" s="360" t="str">
        <f t="shared" si="14"/>
        <v>413010303</v>
      </c>
      <c r="Y22" s="361" t="str">
        <f t="shared" si="15"/>
        <v>پیچ بست تسمه نوار عرضی</v>
      </c>
      <c r="Z22" s="359" t="s">
        <v>346</v>
      </c>
      <c r="AA22" s="359">
        <f t="shared" si="16"/>
        <v>4</v>
      </c>
      <c r="AB22" s="359">
        <f t="shared" si="5"/>
        <v>4</v>
      </c>
      <c r="AC22" s="931">
        <f t="shared" si="6"/>
        <v>4</v>
      </c>
      <c r="AD22" s="10"/>
      <c r="AE22" s="706" t="str">
        <f t="shared" si="17"/>
        <v>413010303</v>
      </c>
      <c r="AF22" s="707" t="str">
        <f t="shared" si="18"/>
        <v>پیچ بست تسمه نوار عرضی</v>
      </c>
      <c r="AG22" s="359" t="str">
        <f t="shared" si="19"/>
        <v>Self Threaded Bolt</v>
      </c>
      <c r="AH22" s="359" t="str">
        <f t="shared" si="26"/>
        <v>M1/4"x10-5.6-Electroplated-Din 7972</v>
      </c>
      <c r="AI22" s="729" t="s">
        <v>422</v>
      </c>
      <c r="AJ22" s="818" t="s">
        <v>386</v>
      </c>
      <c r="AK22" s="708">
        <v>1</v>
      </c>
      <c r="AL22" s="359" t="str">
        <f t="shared" si="25"/>
        <v>Pcs</v>
      </c>
      <c r="AM22" s="730">
        <f t="shared" si="7"/>
        <v>4</v>
      </c>
      <c r="AN22" s="10"/>
      <c r="AP22" s="1136" t="s">
        <v>420</v>
      </c>
      <c r="AQ22" s="1136" t="s">
        <v>4</v>
      </c>
      <c r="AR22" s="1136" t="s">
        <v>468</v>
      </c>
      <c r="AS22" s="1136" t="s">
        <v>29</v>
      </c>
      <c r="AT22" s="1162">
        <v>9.8125</v>
      </c>
      <c r="AU22"/>
      <c r="AV22" s="40"/>
      <c r="AW22" s="40"/>
      <c r="AX22" s="33"/>
      <c r="AY22" s="33"/>
      <c r="AZ22" s="33"/>
      <c r="BA22" s="33"/>
      <c r="BB22" s="33"/>
      <c r="BC22" s="33"/>
      <c r="BD22" s="1120" t="str">
        <f t="shared" si="21"/>
        <v>01</v>
      </c>
      <c r="BE22" s="1121" t="str">
        <f t="shared" si="22"/>
        <v>03</v>
      </c>
      <c r="BF22" s="1121" t="str">
        <f t="shared" si="23"/>
        <v>413010303</v>
      </c>
      <c r="BG22" s="1122" t="str">
        <f t="shared" si="8"/>
        <v>Front Drum</v>
      </c>
      <c r="BH22" s="1122">
        <f t="shared" si="9"/>
        <v>1</v>
      </c>
      <c r="BI22" s="1123">
        <f t="shared" si="10"/>
        <v>1</v>
      </c>
      <c r="BJ22" s="33"/>
      <c r="BK22" s="33"/>
      <c r="BL22" s="33"/>
      <c r="BM22" s="33"/>
      <c r="BN22" s="33"/>
      <c r="BO22" s="1128" t="str">
        <f t="shared" si="0"/>
        <v>تسمه گالوانیزه عرض 32 میلیمتر</v>
      </c>
      <c r="BP22" s="1129" t="str">
        <f t="shared" si="1"/>
        <v>H.D.G</v>
      </c>
      <c r="BQ22" s="1122" t="str">
        <f t="shared" si="2"/>
        <v>Kg</v>
      </c>
      <c r="BR22" s="1122" t="str">
        <f t="shared" si="3"/>
        <v>000069040014</v>
      </c>
      <c r="BS22" s="1163">
        <f t="shared" si="4"/>
        <v>9.8125</v>
      </c>
      <c r="BT22" s="33"/>
      <c r="BU22" s="33"/>
      <c r="BV22" s="33"/>
      <c r="BW22" s="33"/>
      <c r="BX22" s="33"/>
      <c r="BY22" s="33"/>
      <c r="BZ22" s="33"/>
      <c r="CA22" s="33"/>
      <c r="CB22" s="33"/>
      <c r="CC22" s="33"/>
      <c r="CD22" s="33"/>
      <c r="CE22" s="33"/>
      <c r="CF22" s="33"/>
      <c r="CG22" s="33"/>
      <c r="CH22" s="33"/>
      <c r="CI22" s="33"/>
      <c r="CJ22" s="33"/>
      <c r="CK22" s="33"/>
      <c r="CL22" s="33"/>
      <c r="CM22" s="33"/>
      <c r="CN22" s="33"/>
      <c r="CO22" s="33"/>
      <c r="CP22" s="33"/>
      <c r="CQ22" s="33"/>
      <c r="CR22" s="33"/>
      <c r="CS22" s="33"/>
      <c r="CT22" s="33"/>
      <c r="CU22" s="33"/>
      <c r="CV22" s="33"/>
      <c r="CW22" s="33"/>
      <c r="CX22" s="33"/>
      <c r="CY22" s="33"/>
      <c r="CZ22" s="33"/>
    </row>
    <row r="23" spans="1:104" ht="15" x14ac:dyDescent="0.25">
      <c r="A23" s="1171">
        <v>16</v>
      </c>
      <c r="B23" s="77" t="s">
        <v>113</v>
      </c>
      <c r="C23" s="77" t="s">
        <v>135</v>
      </c>
      <c r="D23" s="78" t="s">
        <v>140</v>
      </c>
      <c r="E23" s="78" t="s">
        <v>8</v>
      </c>
      <c r="F23" s="78" t="s">
        <v>141</v>
      </c>
      <c r="G23" s="77">
        <v>5.6</v>
      </c>
      <c r="H23" s="77" t="s">
        <v>10</v>
      </c>
      <c r="I23" s="77" t="s">
        <v>20</v>
      </c>
      <c r="J23" s="77">
        <v>2</v>
      </c>
      <c r="K23" s="77" t="s">
        <v>30</v>
      </c>
      <c r="L23" s="90">
        <f>J23</f>
        <v>2</v>
      </c>
      <c r="M23" s="90">
        <f>J23</f>
        <v>2</v>
      </c>
      <c r="N23" s="80">
        <f t="shared" si="28"/>
        <v>0</v>
      </c>
      <c r="O23" s="641"/>
      <c r="P23" s="356">
        <f t="shared" si="11"/>
        <v>413</v>
      </c>
      <c r="Q23" s="357" t="s">
        <v>34</v>
      </c>
      <c r="R23" s="358" t="str">
        <f t="shared" si="12"/>
        <v>Front Drum</v>
      </c>
      <c r="S23" s="358">
        <v>1</v>
      </c>
      <c r="T23" s="357" t="s">
        <v>36</v>
      </c>
      <c r="U23" s="358" t="str">
        <f t="shared" si="13"/>
        <v>تسمه نوار عرضی</v>
      </c>
      <c r="V23" s="359">
        <v>1</v>
      </c>
      <c r="W23" s="357" t="s">
        <v>37</v>
      </c>
      <c r="X23" s="360" t="str">
        <f t="shared" si="14"/>
        <v>413010304</v>
      </c>
      <c r="Y23" s="361" t="str">
        <f t="shared" si="15"/>
        <v>پیچ تسمه نوار عرضی</v>
      </c>
      <c r="Z23" s="359" t="s">
        <v>141</v>
      </c>
      <c r="AA23" s="359">
        <f t="shared" si="16"/>
        <v>2</v>
      </c>
      <c r="AB23" s="359">
        <f t="shared" si="5"/>
        <v>2</v>
      </c>
      <c r="AC23" s="931">
        <f t="shared" si="6"/>
        <v>2</v>
      </c>
      <c r="AD23" s="10"/>
      <c r="AE23" s="706" t="str">
        <f t="shared" si="17"/>
        <v>413010304</v>
      </c>
      <c r="AF23" s="707" t="str">
        <f t="shared" si="18"/>
        <v>پیچ تسمه نوار عرضی</v>
      </c>
      <c r="AG23" s="359" t="str">
        <f t="shared" si="19"/>
        <v>Hex Bolt</v>
      </c>
      <c r="AH23" s="359" t="str">
        <f t="shared" si="26"/>
        <v>M6x100-5.6-Electroplated-Din 933</v>
      </c>
      <c r="AI23" s="731" t="s">
        <v>423</v>
      </c>
      <c r="AJ23" s="818" t="s">
        <v>387</v>
      </c>
      <c r="AK23" s="708">
        <v>1</v>
      </c>
      <c r="AL23" s="359" t="str">
        <f t="shared" si="25"/>
        <v>Pcs</v>
      </c>
      <c r="AM23" s="730">
        <f t="shared" si="7"/>
        <v>2</v>
      </c>
      <c r="AP23" s="1136" t="s">
        <v>498</v>
      </c>
      <c r="AQ23" s="1136" t="s">
        <v>232</v>
      </c>
      <c r="AR23" s="1136" t="s">
        <v>466</v>
      </c>
      <c r="AS23" s="1136" t="s">
        <v>30</v>
      </c>
      <c r="AT23" s="1162">
        <v>12</v>
      </c>
      <c r="AU23"/>
      <c r="AV23" s="40"/>
      <c r="AW23" s="40"/>
      <c r="AX23" s="33"/>
      <c r="AY23" s="33"/>
      <c r="AZ23" s="33"/>
      <c r="BA23" s="33"/>
      <c r="BB23" s="33"/>
      <c r="BC23" s="33"/>
      <c r="BD23" s="1120" t="str">
        <f t="shared" si="21"/>
        <v>01</v>
      </c>
      <c r="BE23" s="1121" t="str">
        <f t="shared" si="22"/>
        <v>04</v>
      </c>
      <c r="BF23" s="1121" t="str">
        <f t="shared" si="23"/>
        <v>413010304</v>
      </c>
      <c r="BG23" s="1122" t="str">
        <f t="shared" si="8"/>
        <v>Front Drum</v>
      </c>
      <c r="BH23" s="1122">
        <f t="shared" si="9"/>
        <v>1</v>
      </c>
      <c r="BI23" s="1123">
        <f t="shared" si="10"/>
        <v>1</v>
      </c>
      <c r="BJ23" s="33"/>
      <c r="BK23" s="33"/>
      <c r="BL23" s="33"/>
      <c r="BM23" s="33"/>
      <c r="BN23" s="33"/>
      <c r="BO23" s="1128" t="str">
        <f t="shared" si="0"/>
        <v xml:space="preserve">تسمه نوار خاردار خام </v>
      </c>
      <c r="BP23" s="1129" t="str">
        <f t="shared" si="1"/>
        <v>A-36</v>
      </c>
      <c r="BQ23" s="1122" t="str">
        <f t="shared" si="2"/>
        <v>Pcs</v>
      </c>
      <c r="BR23" s="1122" t="str">
        <f t="shared" si="3"/>
        <v>000952000015</v>
      </c>
      <c r="BS23" s="1163">
        <f t="shared" si="4"/>
        <v>12</v>
      </c>
      <c r="BT23" s="33"/>
      <c r="BU23" s="33"/>
      <c r="BV23" s="33"/>
      <c r="BW23" s="33"/>
      <c r="BX23" s="33"/>
      <c r="BY23" s="33"/>
      <c r="BZ23" s="33"/>
      <c r="CA23" s="33"/>
      <c r="CB23" s="33"/>
      <c r="CC23" s="33"/>
      <c r="CD23" s="33"/>
      <c r="CE23" s="33"/>
      <c r="CF23" s="33"/>
      <c r="CG23" s="33"/>
      <c r="CH23" s="33"/>
      <c r="CI23" s="33"/>
      <c r="CJ23" s="33"/>
      <c r="CK23" s="33"/>
      <c r="CL23" s="33"/>
      <c r="CM23" s="33"/>
      <c r="CN23" s="33"/>
      <c r="CO23" s="33"/>
      <c r="CP23" s="33"/>
      <c r="CQ23" s="33"/>
      <c r="CR23" s="33"/>
      <c r="CS23" s="33"/>
      <c r="CT23" s="33"/>
      <c r="CU23" s="33"/>
      <c r="CV23" s="33"/>
      <c r="CW23" s="33"/>
      <c r="CX23" s="33"/>
      <c r="CY23" s="33"/>
      <c r="CZ23" s="33"/>
    </row>
    <row r="24" spans="1:104" ht="15.75" thickBot="1" x14ac:dyDescent="0.3">
      <c r="A24" s="1172">
        <v>17</v>
      </c>
      <c r="B24" s="82" t="s">
        <v>113</v>
      </c>
      <c r="C24" s="82" t="s">
        <v>135</v>
      </c>
      <c r="D24" s="83" t="s">
        <v>142</v>
      </c>
      <c r="E24" s="83" t="s">
        <v>9</v>
      </c>
      <c r="F24" s="83" t="s">
        <v>5</v>
      </c>
      <c r="G24" s="82">
        <v>5</v>
      </c>
      <c r="H24" s="82" t="s">
        <v>10</v>
      </c>
      <c r="I24" s="82" t="s">
        <v>21</v>
      </c>
      <c r="J24" s="82">
        <f>J23</f>
        <v>2</v>
      </c>
      <c r="K24" s="82" t="s">
        <v>30</v>
      </c>
      <c r="L24" s="82">
        <f>J24</f>
        <v>2</v>
      </c>
      <c r="M24" s="82">
        <f>J24</f>
        <v>2</v>
      </c>
      <c r="N24" s="85">
        <f t="shared" si="28"/>
        <v>0</v>
      </c>
      <c r="O24" s="641"/>
      <c r="P24" s="364">
        <f t="shared" si="11"/>
        <v>413</v>
      </c>
      <c r="Q24" s="365" t="s">
        <v>34</v>
      </c>
      <c r="R24" s="366" t="str">
        <f t="shared" si="12"/>
        <v>Front Drum</v>
      </c>
      <c r="S24" s="366">
        <v>1</v>
      </c>
      <c r="T24" s="365" t="s">
        <v>36</v>
      </c>
      <c r="U24" s="366" t="str">
        <f t="shared" si="13"/>
        <v>تسمه نوار عرضی</v>
      </c>
      <c r="V24" s="367">
        <v>1</v>
      </c>
      <c r="W24" s="365" t="s">
        <v>38</v>
      </c>
      <c r="X24" s="368" t="str">
        <f t="shared" si="14"/>
        <v>413010305</v>
      </c>
      <c r="Y24" s="369" t="str">
        <f t="shared" si="15"/>
        <v>مهره تسمه نوار عرضی</v>
      </c>
      <c r="Z24" s="367" t="s">
        <v>5</v>
      </c>
      <c r="AA24" s="367">
        <f t="shared" si="16"/>
        <v>2</v>
      </c>
      <c r="AB24" s="367">
        <f t="shared" si="5"/>
        <v>2</v>
      </c>
      <c r="AC24" s="932">
        <f t="shared" si="6"/>
        <v>2</v>
      </c>
      <c r="AD24" s="10"/>
      <c r="AE24" s="711" t="str">
        <f t="shared" si="17"/>
        <v>413010305</v>
      </c>
      <c r="AF24" s="712" t="str">
        <f t="shared" si="18"/>
        <v>مهره تسمه نوار عرضی</v>
      </c>
      <c r="AG24" s="362" t="str">
        <f t="shared" si="19"/>
        <v>Hex Nut</v>
      </c>
      <c r="AH24" s="362" t="str">
        <f t="shared" si="26"/>
        <v>M6-5-Electroplated-Din 934</v>
      </c>
      <c r="AI24" s="732" t="s">
        <v>424</v>
      </c>
      <c r="AJ24" s="1026" t="s">
        <v>104</v>
      </c>
      <c r="AK24" s="737">
        <v>1</v>
      </c>
      <c r="AL24" s="362" t="str">
        <f t="shared" si="25"/>
        <v>Pcs</v>
      </c>
      <c r="AM24" s="1027">
        <f t="shared" si="7"/>
        <v>2</v>
      </c>
      <c r="AN24" s="10"/>
      <c r="AP24" s="1136" t="s">
        <v>204</v>
      </c>
      <c r="AQ24" s="1136" t="s">
        <v>205</v>
      </c>
      <c r="AR24" s="1136" t="s">
        <v>402</v>
      </c>
      <c r="AS24" s="1136" t="s">
        <v>30</v>
      </c>
      <c r="AT24" s="1162">
        <v>10</v>
      </c>
      <c r="AU24"/>
      <c r="AV24" s="40"/>
      <c r="AW24" s="40"/>
      <c r="AX24" s="33"/>
      <c r="AY24" s="33"/>
      <c r="AZ24" s="33"/>
      <c r="BA24" s="33"/>
      <c r="BB24" s="33"/>
      <c r="BC24" s="33"/>
      <c r="BD24" s="1120" t="str">
        <f t="shared" si="21"/>
        <v>01</v>
      </c>
      <c r="BE24" s="1121" t="str">
        <f t="shared" si="22"/>
        <v>05</v>
      </c>
      <c r="BF24" s="1121" t="str">
        <f t="shared" si="23"/>
        <v>413010305</v>
      </c>
      <c r="BG24" s="1122" t="str">
        <f t="shared" si="8"/>
        <v>Front Drum</v>
      </c>
      <c r="BH24" s="1122">
        <f t="shared" si="9"/>
        <v>1</v>
      </c>
      <c r="BI24" s="1123">
        <f t="shared" si="10"/>
        <v>1</v>
      </c>
      <c r="BJ24" s="33"/>
      <c r="BK24" s="33"/>
      <c r="BL24" s="33"/>
      <c r="BM24" s="33"/>
      <c r="BN24" s="33"/>
      <c r="BO24" s="1128" t="str">
        <f t="shared" si="0"/>
        <v>رولپلاگ</v>
      </c>
      <c r="BP24" s="1129" t="str">
        <f t="shared" si="1"/>
        <v>8x80</v>
      </c>
      <c r="BQ24" s="1122" t="str">
        <f t="shared" si="2"/>
        <v>Pcs</v>
      </c>
      <c r="BR24" s="1122" t="str">
        <f t="shared" si="3"/>
        <v>000013070880</v>
      </c>
      <c r="BS24" s="1163">
        <f t="shared" si="4"/>
        <v>10</v>
      </c>
      <c r="BT24" s="33"/>
      <c r="BU24" s="33"/>
      <c r="BV24" s="33"/>
      <c r="BW24" s="33"/>
      <c r="BX24" s="33"/>
      <c r="BY24" s="33"/>
      <c r="BZ24" s="33"/>
      <c r="CA24" s="33"/>
      <c r="CB24" s="33"/>
      <c r="CC24" s="33"/>
      <c r="CD24" s="33"/>
      <c r="CE24" s="33"/>
      <c r="CF24" s="33"/>
      <c r="CG24" s="33"/>
      <c r="CH24" s="33"/>
      <c r="CI24" s="33"/>
      <c r="CJ24" s="33"/>
      <c r="CK24" s="33"/>
      <c r="CL24" s="33"/>
      <c r="CM24" s="33"/>
      <c r="CN24" s="33"/>
      <c r="CO24" s="33"/>
      <c r="CP24" s="33"/>
      <c r="CQ24" s="33"/>
      <c r="CR24" s="33"/>
      <c r="CS24" s="33"/>
      <c r="CT24" s="33"/>
      <c r="CU24" s="33"/>
      <c r="CV24" s="33"/>
      <c r="CW24" s="33"/>
      <c r="CX24" s="33"/>
      <c r="CY24" s="33"/>
      <c r="CZ24" s="33"/>
    </row>
    <row r="25" spans="1:104" ht="15.75" thickBot="1" x14ac:dyDescent="0.3">
      <c r="A25" s="1177">
        <v>18</v>
      </c>
      <c r="B25" s="251" t="s">
        <v>113</v>
      </c>
      <c r="C25" s="251" t="s">
        <v>154</v>
      </c>
      <c r="D25" s="252" t="s">
        <v>154</v>
      </c>
      <c r="E25" s="252" t="s">
        <v>176</v>
      </c>
      <c r="F25" s="252" t="s">
        <v>177</v>
      </c>
      <c r="G25" s="251" t="s">
        <v>2</v>
      </c>
      <c r="H25" s="251" t="s">
        <v>2</v>
      </c>
      <c r="I25" s="251" t="s">
        <v>2</v>
      </c>
      <c r="J25" s="251">
        <f>J8/2</f>
        <v>4</v>
      </c>
      <c r="K25" s="251" t="s">
        <v>30</v>
      </c>
      <c r="L25" s="251">
        <f>J25</f>
        <v>4</v>
      </c>
      <c r="M25" s="251">
        <f>J25</f>
        <v>4</v>
      </c>
      <c r="N25" s="254">
        <f t="shared" si="28"/>
        <v>0</v>
      </c>
      <c r="O25" s="641"/>
      <c r="P25" s="398">
        <f t="shared" si="11"/>
        <v>413</v>
      </c>
      <c r="Q25" s="42" t="s">
        <v>34</v>
      </c>
      <c r="R25" s="399" t="str">
        <f t="shared" si="12"/>
        <v>Front Drum</v>
      </c>
      <c r="S25" s="399">
        <v>1</v>
      </c>
      <c r="T25" s="42" t="s">
        <v>37</v>
      </c>
      <c r="U25" s="399" t="str">
        <f t="shared" si="13"/>
        <v>فیلتر</v>
      </c>
      <c r="V25" s="400">
        <v>1</v>
      </c>
      <c r="W25" s="42" t="s">
        <v>34</v>
      </c>
      <c r="X25" s="327" t="str">
        <f t="shared" si="14"/>
        <v>413010401</v>
      </c>
      <c r="Y25" s="401" t="str">
        <f t="shared" si="15"/>
        <v>فیلتر</v>
      </c>
      <c r="Z25" s="400" t="s">
        <v>177</v>
      </c>
      <c r="AA25" s="400">
        <f t="shared" si="16"/>
        <v>4</v>
      </c>
      <c r="AB25" s="400">
        <f t="shared" si="5"/>
        <v>4</v>
      </c>
      <c r="AC25" s="937">
        <f t="shared" si="6"/>
        <v>4</v>
      </c>
      <c r="AD25" s="10"/>
      <c r="AE25" s="733" t="str">
        <f t="shared" si="17"/>
        <v>413010401</v>
      </c>
      <c r="AF25" s="734" t="str">
        <f t="shared" si="18"/>
        <v>فیلتر</v>
      </c>
      <c r="AG25" s="400" t="str">
        <f t="shared" si="19"/>
        <v>فیلتر اسفنجی</v>
      </c>
      <c r="AH25" s="400" t="str">
        <f>F25</f>
        <v>PPI 45</v>
      </c>
      <c r="AI25" s="735" t="s">
        <v>425</v>
      </c>
      <c r="AJ25" s="824" t="s">
        <v>388</v>
      </c>
      <c r="AK25" s="877">
        <v>1</v>
      </c>
      <c r="AL25" s="400" t="str">
        <f t="shared" si="25"/>
        <v>Pcs</v>
      </c>
      <c r="AM25" s="920">
        <f t="shared" si="7"/>
        <v>4</v>
      </c>
      <c r="AP25" s="1136" t="s">
        <v>449</v>
      </c>
      <c r="AQ25" s="1136" t="s">
        <v>509</v>
      </c>
      <c r="AR25" s="1136" t="s">
        <v>477</v>
      </c>
      <c r="AS25" s="1136" t="s">
        <v>6</v>
      </c>
      <c r="AT25" s="1162">
        <v>315.78947368421052</v>
      </c>
      <c r="AU25"/>
      <c r="AV25" s="40"/>
      <c r="AW25" s="40"/>
      <c r="AX25" s="33"/>
      <c r="AY25" s="33"/>
      <c r="AZ25" s="33"/>
      <c r="BA25" s="33"/>
      <c r="BB25" s="33"/>
      <c r="BC25" s="33"/>
      <c r="BD25" s="1120" t="str">
        <f t="shared" si="21"/>
        <v>01</v>
      </c>
      <c r="BE25" s="1121" t="str">
        <f t="shared" si="22"/>
        <v>01</v>
      </c>
      <c r="BF25" s="1121" t="str">
        <f t="shared" si="23"/>
        <v>413010401</v>
      </c>
      <c r="BG25" s="1122" t="str">
        <f t="shared" si="8"/>
        <v>Front Drum</v>
      </c>
      <c r="BH25" s="1122">
        <f t="shared" si="9"/>
        <v>1</v>
      </c>
      <c r="BI25" s="1123">
        <f t="shared" si="10"/>
        <v>1</v>
      </c>
      <c r="BJ25" s="33"/>
      <c r="BK25" s="33"/>
      <c r="BL25" s="33"/>
      <c r="BM25" s="33"/>
      <c r="BN25" s="33"/>
      <c r="BO25" s="1128" t="str">
        <f t="shared" si="0"/>
        <v>شفت تمام حدیده M14</v>
      </c>
      <c r="BP25" s="1129" t="str">
        <f t="shared" si="1"/>
        <v>A-36-Ø14x303</v>
      </c>
      <c r="BQ25" s="1122" t="str">
        <f t="shared" si="2"/>
        <v>mm</v>
      </c>
      <c r="BR25" s="1122" t="str">
        <f t="shared" si="3"/>
        <v>000039240014</v>
      </c>
      <c r="BS25" s="1163">
        <f t="shared" si="4"/>
        <v>315.78947368421052</v>
      </c>
      <c r="BT25" s="33"/>
      <c r="BU25" s="33"/>
      <c r="BV25" s="33"/>
      <c r="BW25" s="33"/>
      <c r="BX25" s="33"/>
      <c r="BY25" s="33"/>
      <c r="BZ25" s="33"/>
      <c r="CA25" s="33"/>
      <c r="CB25" s="33"/>
      <c r="CC25" s="33"/>
      <c r="CD25" s="33"/>
      <c r="CE25" s="33"/>
      <c r="CF25" s="33"/>
      <c r="CG25" s="33"/>
      <c r="CH25" s="33"/>
      <c r="CI25" s="33"/>
      <c r="CJ25" s="33"/>
      <c r="CK25" s="33"/>
      <c r="CL25" s="33"/>
      <c r="CM25" s="33"/>
      <c r="CN25" s="33"/>
      <c r="CO25" s="33"/>
      <c r="CP25" s="33"/>
      <c r="CQ25" s="33"/>
      <c r="CR25" s="33"/>
      <c r="CS25" s="33"/>
      <c r="CT25" s="33"/>
      <c r="CU25" s="33"/>
      <c r="CV25" s="33"/>
      <c r="CW25" s="33"/>
      <c r="CX25" s="33"/>
      <c r="CY25" s="33"/>
      <c r="CZ25" s="33"/>
    </row>
    <row r="26" spans="1:104" ht="15" x14ac:dyDescent="0.25">
      <c r="A26" s="1170">
        <v>19</v>
      </c>
      <c r="B26" s="74" t="s">
        <v>113</v>
      </c>
      <c r="C26" s="74" t="s">
        <v>143</v>
      </c>
      <c r="D26" s="73" t="s">
        <v>144</v>
      </c>
      <c r="E26" s="73" t="s">
        <v>145</v>
      </c>
      <c r="F26" s="73" t="s">
        <v>232</v>
      </c>
      <c r="G26" s="74" t="s">
        <v>2</v>
      </c>
      <c r="H26" s="74">
        <v>65</v>
      </c>
      <c r="I26" s="74">
        <v>300</v>
      </c>
      <c r="J26" s="74">
        <v>1</v>
      </c>
      <c r="K26" s="74" t="s">
        <v>323</v>
      </c>
      <c r="L26" s="75">
        <f>J26*I26*(H26/2)*(H26/2)*3.1415*7.85/1000000</f>
        <v>7.8143830781250001</v>
      </c>
      <c r="M26" s="75">
        <f>J26*I26*(H26/2)*(H26/2)*3.1415*7.85/1000000</f>
        <v>7.8143830781250001</v>
      </c>
      <c r="N26" s="76">
        <f>(M26-L26)/L26</f>
        <v>0</v>
      </c>
      <c r="O26" s="641"/>
      <c r="P26" s="350">
        <f t="shared" si="11"/>
        <v>413</v>
      </c>
      <c r="Q26" s="351" t="s">
        <v>34</v>
      </c>
      <c r="R26" s="352" t="str">
        <f t="shared" si="12"/>
        <v>Front Drum</v>
      </c>
      <c r="S26" s="352">
        <v>1</v>
      </c>
      <c r="T26" s="351" t="s">
        <v>38</v>
      </c>
      <c r="U26" s="352" t="str">
        <f t="shared" si="13"/>
        <v>صفحه و شفت</v>
      </c>
      <c r="V26" s="353">
        <v>1</v>
      </c>
      <c r="W26" s="351" t="s">
        <v>34</v>
      </c>
      <c r="X26" s="354" t="str">
        <f t="shared" si="14"/>
        <v>413010501</v>
      </c>
      <c r="Y26" s="355" t="str">
        <f t="shared" si="15"/>
        <v xml:space="preserve"> شفت سمت متحرک</v>
      </c>
      <c r="Z26" s="353" t="s">
        <v>347</v>
      </c>
      <c r="AA26" s="353">
        <f t="shared" si="16"/>
        <v>1</v>
      </c>
      <c r="AB26" s="353">
        <f t="shared" si="5"/>
        <v>1</v>
      </c>
      <c r="AC26" s="930">
        <f t="shared" si="6"/>
        <v>1</v>
      </c>
      <c r="AD26" s="10"/>
      <c r="AE26" s="702" t="str">
        <f t="shared" si="17"/>
        <v>413010501</v>
      </c>
      <c r="AF26" s="703" t="str">
        <f t="shared" si="18"/>
        <v xml:space="preserve"> شفت سمت متحرک</v>
      </c>
      <c r="AG26" s="353" t="str">
        <f t="shared" si="19"/>
        <v>Round Bar</v>
      </c>
      <c r="AH26" s="353" t="str">
        <f>F26</f>
        <v>A-36</v>
      </c>
      <c r="AI26" s="736" t="s">
        <v>426</v>
      </c>
      <c r="AJ26" s="822" t="s">
        <v>470</v>
      </c>
      <c r="AK26" s="704">
        <f>M26/J26</f>
        <v>7.8143830781250001</v>
      </c>
      <c r="AL26" s="353" t="str">
        <f t="shared" si="25"/>
        <v>kg</v>
      </c>
      <c r="AM26" s="727">
        <f t="shared" si="7"/>
        <v>7.8143830781250001</v>
      </c>
      <c r="AN26" s="10"/>
      <c r="AP26" s="1136" t="s">
        <v>446</v>
      </c>
      <c r="AQ26" s="1136" t="s">
        <v>232</v>
      </c>
      <c r="AR26" s="1136" t="s">
        <v>475</v>
      </c>
      <c r="AS26" s="1136" t="s">
        <v>6</v>
      </c>
      <c r="AT26" s="1162">
        <v>944.11764705882354</v>
      </c>
      <c r="AU26"/>
      <c r="AV26" s="40"/>
      <c r="AW26" s="40"/>
      <c r="AX26" s="33"/>
      <c r="AY26" s="33"/>
      <c r="AZ26" s="33"/>
      <c r="BA26" s="33"/>
      <c r="BB26" s="33"/>
      <c r="BC26" s="33"/>
      <c r="BD26" s="1120" t="str">
        <f t="shared" si="21"/>
        <v>01</v>
      </c>
      <c r="BE26" s="1121" t="str">
        <f t="shared" si="22"/>
        <v>01</v>
      </c>
      <c r="BF26" s="1121" t="str">
        <f t="shared" si="23"/>
        <v>413010501</v>
      </c>
      <c r="BG26" s="1122" t="str">
        <f t="shared" si="8"/>
        <v>Front Drum</v>
      </c>
      <c r="BH26" s="1122">
        <f t="shared" si="9"/>
        <v>1</v>
      </c>
      <c r="BI26" s="1123">
        <f t="shared" si="10"/>
        <v>1</v>
      </c>
      <c r="BJ26" s="33"/>
      <c r="BK26" s="33"/>
      <c r="BL26" s="33"/>
      <c r="BM26" s="33"/>
      <c r="BN26" s="33"/>
      <c r="BO26" s="1128" t="str">
        <f t="shared" si="0"/>
        <v>قوطی آهن 70*70</v>
      </c>
      <c r="BP26" s="1129" t="str">
        <f t="shared" si="1"/>
        <v>A-36</v>
      </c>
      <c r="BQ26" s="1122" t="str">
        <f t="shared" si="2"/>
        <v>mm</v>
      </c>
      <c r="BR26" s="1122" t="str">
        <f t="shared" si="3"/>
        <v>000231070070</v>
      </c>
      <c r="BS26" s="1163">
        <f t="shared" si="4"/>
        <v>944.11764705882354</v>
      </c>
      <c r="BT26" s="33"/>
      <c r="BU26" s="33"/>
      <c r="BV26" s="33"/>
      <c r="BW26" s="33"/>
      <c r="BX26" s="33"/>
      <c r="BY26" s="33"/>
      <c r="BZ26" s="33"/>
      <c r="CA26" s="33"/>
      <c r="CB26" s="33"/>
      <c r="CC26" s="33"/>
      <c r="CD26" s="33"/>
      <c r="CE26" s="33"/>
      <c r="CF26" s="33"/>
      <c r="CG26" s="33"/>
      <c r="CH26" s="33"/>
      <c r="CI26" s="33"/>
      <c r="CJ26" s="33"/>
      <c r="CK26" s="33"/>
      <c r="CL26" s="33"/>
      <c r="CM26" s="33"/>
      <c r="CN26" s="33"/>
      <c r="CO26" s="33"/>
      <c r="CP26" s="33"/>
      <c r="CQ26" s="33"/>
      <c r="CR26" s="33"/>
      <c r="CS26" s="33"/>
      <c r="CT26" s="33"/>
      <c r="CU26" s="33"/>
      <c r="CV26" s="33"/>
      <c r="CW26" s="33"/>
      <c r="CX26" s="33"/>
      <c r="CY26" s="33"/>
      <c r="CZ26" s="33"/>
    </row>
    <row r="27" spans="1:104" ht="15" x14ac:dyDescent="0.25">
      <c r="A27" s="1180">
        <v>20</v>
      </c>
      <c r="B27" s="77" t="s">
        <v>113</v>
      </c>
      <c r="C27" s="77" t="s">
        <v>143</v>
      </c>
      <c r="D27" s="78" t="s">
        <v>146</v>
      </c>
      <c r="E27" s="78" t="s">
        <v>3</v>
      </c>
      <c r="F27" s="78" t="s">
        <v>80</v>
      </c>
      <c r="G27" s="77">
        <v>10</v>
      </c>
      <c r="H27" s="77">
        <v>350</v>
      </c>
      <c r="I27" s="77">
        <v>350</v>
      </c>
      <c r="J27" s="1176">
        <f>J26</f>
        <v>1</v>
      </c>
      <c r="K27" s="77" t="s">
        <v>29</v>
      </c>
      <c r="L27" s="79">
        <f>G27*H27*I27*J27*7.85/1000000</f>
        <v>9.6162500000000009</v>
      </c>
      <c r="M27" s="1176">
        <f>((((1500-(INT(1500/H27)*H27))/(INT(1500/H27)))+H27)*G27*I27*J27*7.85)/1000000</f>
        <v>10.303125</v>
      </c>
      <c r="N27" s="80">
        <f t="shared" si="28"/>
        <v>7.14285714285713E-2</v>
      </c>
      <c r="O27" s="641"/>
      <c r="P27" s="356">
        <f t="shared" si="11"/>
        <v>413</v>
      </c>
      <c r="Q27" s="357" t="s">
        <v>34</v>
      </c>
      <c r="R27" s="358" t="str">
        <f t="shared" si="12"/>
        <v>Front Drum</v>
      </c>
      <c r="S27" s="358">
        <v>1</v>
      </c>
      <c r="T27" s="357" t="s">
        <v>38</v>
      </c>
      <c r="U27" s="358" t="str">
        <f t="shared" si="13"/>
        <v>صفحه و شفت</v>
      </c>
      <c r="V27" s="359">
        <v>1</v>
      </c>
      <c r="W27" s="357" t="s">
        <v>35</v>
      </c>
      <c r="X27" s="360" t="str">
        <f t="shared" si="14"/>
        <v>413010502</v>
      </c>
      <c r="Y27" s="361" t="str">
        <f t="shared" si="15"/>
        <v>صفحه شفت</v>
      </c>
      <c r="Z27" s="359" t="s">
        <v>348</v>
      </c>
      <c r="AA27" s="359">
        <f t="shared" si="16"/>
        <v>1</v>
      </c>
      <c r="AB27" s="359">
        <f t="shared" si="5"/>
        <v>1</v>
      </c>
      <c r="AC27" s="931">
        <f t="shared" si="6"/>
        <v>1</v>
      </c>
      <c r="AD27" s="10"/>
      <c r="AE27" s="706" t="str">
        <f t="shared" si="17"/>
        <v>413010502</v>
      </c>
      <c r="AF27" s="707" t="str">
        <f t="shared" si="18"/>
        <v>صفحه شفت</v>
      </c>
      <c r="AG27" s="359" t="str">
        <f t="shared" si="19"/>
        <v>Plate</v>
      </c>
      <c r="AH27" s="359" t="str">
        <f>F27</f>
        <v>St-37</v>
      </c>
      <c r="AI27" s="731" t="s">
        <v>427</v>
      </c>
      <c r="AJ27" s="818" t="s">
        <v>471</v>
      </c>
      <c r="AK27" s="708">
        <f>M27/J27</f>
        <v>10.303125</v>
      </c>
      <c r="AL27" s="359" t="str">
        <f t="shared" si="25"/>
        <v>Kg</v>
      </c>
      <c r="AM27" s="730">
        <f t="shared" si="7"/>
        <v>10.303125</v>
      </c>
      <c r="AP27" s="1136" t="s">
        <v>437</v>
      </c>
      <c r="AQ27" s="1136" t="s">
        <v>2</v>
      </c>
      <c r="AR27" s="1136" t="s">
        <v>474</v>
      </c>
      <c r="AS27" s="1136" t="s">
        <v>6</v>
      </c>
      <c r="AT27" s="1162">
        <v>7000</v>
      </c>
      <c r="AU27"/>
      <c r="AV27" s="40"/>
      <c r="AW27" s="40"/>
      <c r="AX27" s="33"/>
      <c r="AY27" s="33"/>
      <c r="AZ27" s="33"/>
      <c r="BA27" s="33"/>
      <c r="BB27" s="33"/>
      <c r="BC27" s="33"/>
      <c r="BD27" s="1120" t="str">
        <f t="shared" si="21"/>
        <v>01</v>
      </c>
      <c r="BE27" s="1121" t="str">
        <f t="shared" si="22"/>
        <v>02</v>
      </c>
      <c r="BF27" s="1121" t="str">
        <f t="shared" si="23"/>
        <v>413010502</v>
      </c>
      <c r="BG27" s="1122" t="str">
        <f t="shared" si="8"/>
        <v>Front Drum</v>
      </c>
      <c r="BH27" s="1122">
        <f t="shared" si="9"/>
        <v>1</v>
      </c>
      <c r="BI27" s="1123">
        <f t="shared" si="10"/>
        <v>1</v>
      </c>
      <c r="BJ27" s="33"/>
      <c r="BK27" s="33"/>
      <c r="BL27" s="33"/>
      <c r="BM27" s="33"/>
      <c r="BN27" s="33"/>
      <c r="BO27" s="1128" t="str">
        <f t="shared" si="0"/>
        <v>لاستیک نخ دار خام</v>
      </c>
      <c r="BP27" s="1129" t="str">
        <f t="shared" si="1"/>
        <v>-</v>
      </c>
      <c r="BQ27" s="1122" t="str">
        <f t="shared" si="2"/>
        <v>mm</v>
      </c>
      <c r="BR27" s="1122" t="str">
        <f t="shared" si="3"/>
        <v>00048240001</v>
      </c>
      <c r="BS27" s="1163">
        <f t="shared" si="4"/>
        <v>7000</v>
      </c>
      <c r="BT27" s="33"/>
      <c r="BU27" s="33"/>
      <c r="BV27" s="33"/>
      <c r="BW27" s="33"/>
      <c r="BX27" s="33"/>
      <c r="BY27" s="33"/>
      <c r="BZ27" s="33"/>
      <c r="CA27" s="33"/>
      <c r="CB27" s="33"/>
      <c r="CC27" s="33"/>
      <c r="CD27" s="33"/>
      <c r="CE27" s="33"/>
      <c r="CF27" s="33"/>
      <c r="CG27" s="33"/>
      <c r="CH27" s="33"/>
      <c r="CI27" s="33"/>
      <c r="CJ27" s="33"/>
      <c r="CK27" s="33"/>
      <c r="CL27" s="33"/>
      <c r="CM27" s="33"/>
      <c r="CN27" s="33"/>
      <c r="CO27" s="33"/>
      <c r="CP27" s="33"/>
      <c r="CQ27" s="33"/>
      <c r="CR27" s="33"/>
      <c r="CS27" s="33"/>
      <c r="CT27" s="33"/>
      <c r="CU27" s="33"/>
      <c r="CV27" s="33"/>
      <c r="CW27" s="33"/>
      <c r="CX27" s="33"/>
      <c r="CY27" s="33"/>
      <c r="CZ27" s="33"/>
    </row>
    <row r="28" spans="1:104" ht="15" x14ac:dyDescent="0.25">
      <c r="A28" s="1180">
        <v>21</v>
      </c>
      <c r="B28" s="77" t="s">
        <v>113</v>
      </c>
      <c r="C28" s="77" t="s">
        <v>143</v>
      </c>
      <c r="D28" s="78" t="s">
        <v>147</v>
      </c>
      <c r="E28" s="78" t="s">
        <v>3</v>
      </c>
      <c r="F28" s="78" t="s">
        <v>80</v>
      </c>
      <c r="G28" s="77">
        <v>10</v>
      </c>
      <c r="H28" s="77">
        <v>70</v>
      </c>
      <c r="I28" s="77">
        <v>120</v>
      </c>
      <c r="J28" s="1176">
        <f>J27</f>
        <v>1</v>
      </c>
      <c r="K28" s="77" t="s">
        <v>29</v>
      </c>
      <c r="L28" s="79">
        <f>G28*H28*I28*J28*7.85/1000000</f>
        <v>0.65939999999999999</v>
      </c>
      <c r="M28" s="1176">
        <f>((((1500-(INT(1500/H28)*H28))/(INT(1500/H28)))+H28)*G28*I28*J28*7.85)/1000000</f>
        <v>0.67285714285714293</v>
      </c>
      <c r="N28" s="80">
        <f t="shared" si="28"/>
        <v>2.0408163265306256E-2</v>
      </c>
      <c r="O28" s="641"/>
      <c r="P28" s="356">
        <f t="shared" si="11"/>
        <v>413</v>
      </c>
      <c r="Q28" s="357" t="s">
        <v>34</v>
      </c>
      <c r="R28" s="358" t="str">
        <f t="shared" si="12"/>
        <v>Front Drum</v>
      </c>
      <c r="S28" s="358">
        <v>1</v>
      </c>
      <c r="T28" s="357" t="s">
        <v>38</v>
      </c>
      <c r="U28" s="358" t="str">
        <f t="shared" si="13"/>
        <v>صفحه و شفت</v>
      </c>
      <c r="V28" s="359">
        <v>1</v>
      </c>
      <c r="W28" s="357" t="s">
        <v>36</v>
      </c>
      <c r="X28" s="360" t="str">
        <f t="shared" si="14"/>
        <v>413010503</v>
      </c>
      <c r="Y28" s="361" t="str">
        <f t="shared" si="15"/>
        <v>صفحه</v>
      </c>
      <c r="Z28" s="359" t="s">
        <v>349</v>
      </c>
      <c r="AA28" s="359">
        <f t="shared" si="16"/>
        <v>1</v>
      </c>
      <c r="AB28" s="359">
        <f t="shared" si="5"/>
        <v>1</v>
      </c>
      <c r="AC28" s="931">
        <f t="shared" si="6"/>
        <v>1</v>
      </c>
      <c r="AD28" s="10"/>
      <c r="AE28" s="706" t="str">
        <f t="shared" si="17"/>
        <v>413010503</v>
      </c>
      <c r="AF28" s="707" t="str">
        <f t="shared" si="18"/>
        <v>صفحه</v>
      </c>
      <c r="AG28" s="359" t="str">
        <f t="shared" si="19"/>
        <v>Plate</v>
      </c>
      <c r="AH28" s="359" t="str">
        <f>F28</f>
        <v>St-37</v>
      </c>
      <c r="AI28" s="731" t="s">
        <v>427</v>
      </c>
      <c r="AJ28" s="818" t="s">
        <v>471</v>
      </c>
      <c r="AK28" s="708">
        <f>M28/J28</f>
        <v>0.67285714285714293</v>
      </c>
      <c r="AL28" s="359" t="str">
        <f t="shared" si="25"/>
        <v>Kg</v>
      </c>
      <c r="AM28" s="730">
        <f t="shared" si="7"/>
        <v>0.67285714285714293</v>
      </c>
      <c r="AN28" s="10"/>
      <c r="AP28" s="1136" t="s">
        <v>431</v>
      </c>
      <c r="AQ28" s="1136" t="s">
        <v>494</v>
      </c>
      <c r="AR28" s="1136" t="s">
        <v>107</v>
      </c>
      <c r="AS28" s="1136" t="s">
        <v>6</v>
      </c>
      <c r="AT28" s="1162">
        <v>855.05882352941171</v>
      </c>
      <c r="AU28"/>
      <c r="AV28" s="40"/>
      <c r="AW28" s="40"/>
      <c r="AX28" s="33"/>
      <c r="AY28" s="33"/>
      <c r="AZ28" s="33"/>
      <c r="BA28" s="33"/>
      <c r="BB28" s="33"/>
      <c r="BC28" s="33"/>
      <c r="BD28" s="1120" t="str">
        <f t="shared" si="21"/>
        <v>01</v>
      </c>
      <c r="BE28" s="1121" t="str">
        <f t="shared" si="22"/>
        <v>03</v>
      </c>
      <c r="BF28" s="1121" t="str">
        <f t="shared" si="23"/>
        <v>413010503</v>
      </c>
      <c r="BG28" s="1122" t="str">
        <f t="shared" si="8"/>
        <v>Front Drum</v>
      </c>
      <c r="BH28" s="1122">
        <f t="shared" si="9"/>
        <v>1</v>
      </c>
      <c r="BI28" s="1123">
        <f t="shared" si="10"/>
        <v>1</v>
      </c>
      <c r="BJ28" s="33"/>
      <c r="BK28" s="33"/>
      <c r="BL28" s="33"/>
      <c r="BM28" s="33"/>
      <c r="BN28" s="33"/>
      <c r="BO28" s="1128" t="str">
        <f t="shared" si="0"/>
        <v>لوله آهن گازی "1/2</v>
      </c>
      <c r="BP28" s="1129" t="str">
        <f t="shared" si="1"/>
        <v>A-53-1/2"-Sch30</v>
      </c>
      <c r="BQ28" s="1122" t="str">
        <f t="shared" si="2"/>
        <v>mm</v>
      </c>
      <c r="BR28" s="1122" t="str">
        <f t="shared" si="3"/>
        <v>271100030012</v>
      </c>
      <c r="BS28" s="1163">
        <f t="shared" si="4"/>
        <v>855.05882352941171</v>
      </c>
      <c r="BT28" s="33"/>
      <c r="BU28" s="33"/>
      <c r="BV28" s="33"/>
      <c r="BW28" s="33"/>
      <c r="BX28" s="33"/>
      <c r="BY28" s="33"/>
      <c r="BZ28" s="33"/>
      <c r="CA28" s="33"/>
      <c r="CB28" s="33"/>
      <c r="CC28" s="33"/>
      <c r="CD28" s="33"/>
      <c r="CE28" s="33"/>
      <c r="CF28" s="33"/>
      <c r="CG28" s="33"/>
      <c r="CH28" s="33"/>
      <c r="CI28" s="33"/>
      <c r="CJ28" s="33"/>
      <c r="CK28" s="33"/>
      <c r="CL28" s="33"/>
      <c r="CM28" s="33"/>
      <c r="CN28" s="33"/>
      <c r="CO28" s="33"/>
      <c r="CP28" s="33"/>
      <c r="CQ28" s="33"/>
      <c r="CR28" s="33"/>
      <c r="CS28" s="33"/>
      <c r="CT28" s="33"/>
      <c r="CU28" s="33"/>
      <c r="CV28" s="33"/>
      <c r="CW28" s="33"/>
      <c r="CX28" s="33"/>
      <c r="CY28" s="33"/>
      <c r="CZ28" s="33"/>
    </row>
    <row r="29" spans="1:104" ht="15" x14ac:dyDescent="0.25">
      <c r="A29" s="1178">
        <v>22</v>
      </c>
      <c r="B29" s="77" t="s">
        <v>113</v>
      </c>
      <c r="C29" s="77" t="s">
        <v>143</v>
      </c>
      <c r="D29" s="78" t="s">
        <v>148</v>
      </c>
      <c r="E29" s="78" t="s">
        <v>8</v>
      </c>
      <c r="F29" s="78" t="s">
        <v>308</v>
      </c>
      <c r="G29" s="77">
        <v>5.6</v>
      </c>
      <c r="H29" s="77" t="s">
        <v>10</v>
      </c>
      <c r="I29" s="77" t="s">
        <v>275</v>
      </c>
      <c r="J29" s="90">
        <f>J8</f>
        <v>8</v>
      </c>
      <c r="K29" s="77" t="s">
        <v>30</v>
      </c>
      <c r="L29" s="90">
        <f>J29</f>
        <v>8</v>
      </c>
      <c r="M29" s="90">
        <f>J29</f>
        <v>8</v>
      </c>
      <c r="N29" s="80">
        <f t="shared" ref="N29:N43" si="29">(M29-L29)/L29</f>
        <v>0</v>
      </c>
      <c r="O29" s="641"/>
      <c r="P29" s="356">
        <f t="shared" si="11"/>
        <v>413</v>
      </c>
      <c r="Q29" s="357" t="s">
        <v>34</v>
      </c>
      <c r="R29" s="358" t="str">
        <f t="shared" si="12"/>
        <v>Front Drum</v>
      </c>
      <c r="S29" s="358">
        <v>1</v>
      </c>
      <c r="T29" s="357" t="s">
        <v>38</v>
      </c>
      <c r="U29" s="358" t="str">
        <f t="shared" si="13"/>
        <v>صفحه و شفت</v>
      </c>
      <c r="V29" s="359">
        <v>1</v>
      </c>
      <c r="W29" s="357" t="s">
        <v>37</v>
      </c>
      <c r="X29" s="360" t="str">
        <f t="shared" si="14"/>
        <v>413010504</v>
      </c>
      <c r="Y29" s="361" t="str">
        <f t="shared" si="15"/>
        <v>پیچ صفحه شفت</v>
      </c>
      <c r="Z29" s="359" t="s">
        <v>308</v>
      </c>
      <c r="AA29" s="359">
        <f t="shared" si="16"/>
        <v>8</v>
      </c>
      <c r="AB29" s="359">
        <f t="shared" si="5"/>
        <v>8</v>
      </c>
      <c r="AC29" s="931">
        <f t="shared" si="6"/>
        <v>8</v>
      </c>
      <c r="AD29" s="10"/>
      <c r="AE29" s="706" t="str">
        <f t="shared" si="17"/>
        <v>413010504</v>
      </c>
      <c r="AF29" s="707" t="str">
        <f t="shared" si="18"/>
        <v>پیچ صفحه شفت</v>
      </c>
      <c r="AG29" s="359" t="str">
        <f t="shared" si="19"/>
        <v>Hex Bolt</v>
      </c>
      <c r="AH29" s="359" t="str">
        <f t="shared" si="26"/>
        <v>M14x140-5.6-Electroplated-Din 931</v>
      </c>
      <c r="AI29" s="707" t="s">
        <v>530</v>
      </c>
      <c r="AJ29" s="1182" t="s">
        <v>389</v>
      </c>
      <c r="AK29" s="708">
        <f>M29/J29</f>
        <v>1</v>
      </c>
      <c r="AL29" s="359" t="str">
        <f t="shared" si="25"/>
        <v>Pcs</v>
      </c>
      <c r="AM29" s="709">
        <f t="shared" si="7"/>
        <v>8</v>
      </c>
      <c r="AP29" s="1136" t="s">
        <v>454</v>
      </c>
      <c r="AQ29" s="1136" t="s">
        <v>510</v>
      </c>
      <c r="AR29" s="1136" t="s">
        <v>406</v>
      </c>
      <c r="AS29" s="1136" t="s">
        <v>30</v>
      </c>
      <c r="AT29" s="1162">
        <v>36</v>
      </c>
      <c r="AU29" s="33"/>
      <c r="AV29" s="40"/>
      <c r="AW29" s="40"/>
      <c r="AX29" s="33"/>
      <c r="AY29" s="33"/>
      <c r="AZ29" s="33"/>
      <c r="BA29" s="33"/>
      <c r="BB29" s="33"/>
      <c r="BC29" s="33"/>
      <c r="BD29" s="1120" t="str">
        <f t="shared" si="21"/>
        <v>01</v>
      </c>
      <c r="BE29" s="1121" t="str">
        <f t="shared" si="22"/>
        <v>04</v>
      </c>
      <c r="BF29" s="1121" t="str">
        <f t="shared" si="23"/>
        <v>413010504</v>
      </c>
      <c r="BG29" s="1122" t="str">
        <f t="shared" si="8"/>
        <v>Front Drum</v>
      </c>
      <c r="BH29" s="1122">
        <f t="shared" si="9"/>
        <v>1</v>
      </c>
      <c r="BI29" s="1123">
        <f t="shared" si="10"/>
        <v>1</v>
      </c>
      <c r="BJ29" s="33"/>
      <c r="BK29" s="33"/>
      <c r="BL29" s="33"/>
      <c r="BM29" s="33"/>
      <c r="BN29" s="33"/>
      <c r="BO29" s="1128" t="str">
        <f t="shared" si="0"/>
        <v>مهره چهار گوش</v>
      </c>
      <c r="BP29" s="1129" t="str">
        <f t="shared" si="1"/>
        <v>M1/4"-5-Electroplated-Din 555</v>
      </c>
      <c r="BQ29" s="1122" t="str">
        <f t="shared" si="2"/>
        <v>Pcs</v>
      </c>
      <c r="BR29" s="1122" t="str">
        <f t="shared" si="3"/>
        <v>0000120901/4</v>
      </c>
      <c r="BS29" s="1163">
        <f t="shared" si="4"/>
        <v>36</v>
      </c>
      <c r="BT29" s="33"/>
      <c r="BU29" s="33"/>
      <c r="BV29" s="33"/>
      <c r="BW29" s="33"/>
      <c r="BX29" s="33"/>
      <c r="BY29" s="33"/>
      <c r="BZ29" s="33"/>
      <c r="CA29" s="33"/>
      <c r="CB29" s="33"/>
      <c r="CC29" s="33"/>
      <c r="CD29" s="33"/>
      <c r="CE29" s="33"/>
      <c r="CF29" s="33"/>
      <c r="CG29" s="33"/>
      <c r="CH29" s="33"/>
      <c r="CI29" s="33"/>
      <c r="CJ29" s="33"/>
      <c r="CK29" s="33"/>
      <c r="CL29" s="33"/>
      <c r="CM29" s="33"/>
      <c r="CN29" s="33"/>
      <c r="CO29" s="33"/>
      <c r="CP29" s="33"/>
      <c r="CQ29" s="33"/>
      <c r="CR29" s="33"/>
      <c r="CS29" s="33"/>
      <c r="CT29" s="33"/>
      <c r="CU29" s="33"/>
      <c r="CV29" s="33"/>
      <c r="CW29" s="33"/>
      <c r="CX29" s="33"/>
      <c r="CY29" s="33"/>
      <c r="CZ29" s="33"/>
    </row>
    <row r="30" spans="1:104" ht="15" x14ac:dyDescent="0.25">
      <c r="A30" s="1180">
        <v>23</v>
      </c>
      <c r="B30" s="77" t="s">
        <v>113</v>
      </c>
      <c r="C30" s="77" t="s">
        <v>143</v>
      </c>
      <c r="D30" s="78" t="s">
        <v>149</v>
      </c>
      <c r="E30" s="78" t="s">
        <v>9</v>
      </c>
      <c r="F30" s="78" t="s">
        <v>150</v>
      </c>
      <c r="G30" s="77">
        <v>5</v>
      </c>
      <c r="H30" s="77" t="s">
        <v>10</v>
      </c>
      <c r="I30" s="77" t="s">
        <v>21</v>
      </c>
      <c r="J30" s="90">
        <f>J29</f>
        <v>8</v>
      </c>
      <c r="K30" s="77" t="s">
        <v>30</v>
      </c>
      <c r="L30" s="90">
        <f>J30</f>
        <v>8</v>
      </c>
      <c r="M30" s="90">
        <f>J30</f>
        <v>8</v>
      </c>
      <c r="N30" s="80">
        <f t="shared" si="29"/>
        <v>0</v>
      </c>
      <c r="O30" s="641"/>
      <c r="P30" s="356">
        <f t="shared" si="11"/>
        <v>413</v>
      </c>
      <c r="Q30" s="357" t="s">
        <v>34</v>
      </c>
      <c r="R30" s="358" t="str">
        <f t="shared" si="12"/>
        <v>Front Drum</v>
      </c>
      <c r="S30" s="358">
        <v>1</v>
      </c>
      <c r="T30" s="357" t="s">
        <v>38</v>
      </c>
      <c r="U30" s="358" t="str">
        <f t="shared" si="13"/>
        <v>صفحه و شفت</v>
      </c>
      <c r="V30" s="359">
        <v>1</v>
      </c>
      <c r="W30" s="357" t="s">
        <v>38</v>
      </c>
      <c r="X30" s="360" t="str">
        <f t="shared" si="14"/>
        <v>413010505</v>
      </c>
      <c r="Y30" s="361" t="str">
        <f t="shared" si="15"/>
        <v>مهره صفحه شفت</v>
      </c>
      <c r="Z30" s="359" t="s">
        <v>150</v>
      </c>
      <c r="AA30" s="359">
        <f t="shared" si="16"/>
        <v>8</v>
      </c>
      <c r="AB30" s="359">
        <f t="shared" si="5"/>
        <v>8</v>
      </c>
      <c r="AC30" s="931">
        <f t="shared" si="6"/>
        <v>8</v>
      </c>
      <c r="AD30" s="10"/>
      <c r="AE30" s="706" t="str">
        <f t="shared" si="17"/>
        <v>413010505</v>
      </c>
      <c r="AF30" s="707" t="str">
        <f t="shared" si="18"/>
        <v>مهره صفحه شفت</v>
      </c>
      <c r="AG30" s="359" t="str">
        <f t="shared" si="19"/>
        <v>Hex Nut</v>
      </c>
      <c r="AH30" s="359" t="str">
        <f t="shared" si="26"/>
        <v>M14-5-Electroplated-Din 934</v>
      </c>
      <c r="AI30" s="707" t="s">
        <v>429</v>
      </c>
      <c r="AJ30" s="818" t="s">
        <v>390</v>
      </c>
      <c r="AK30" s="708" t="s">
        <v>484</v>
      </c>
      <c r="AL30" s="359" t="str">
        <f t="shared" si="25"/>
        <v>Pcs</v>
      </c>
      <c r="AM30" s="709">
        <f t="shared" si="7"/>
        <v>8</v>
      </c>
      <c r="AN30" s="10"/>
      <c r="AP30" s="1136" t="s">
        <v>435</v>
      </c>
      <c r="AQ30" s="1136" t="s">
        <v>511</v>
      </c>
      <c r="AR30" s="1136" t="s">
        <v>105</v>
      </c>
      <c r="AS30" s="1136" t="s">
        <v>30</v>
      </c>
      <c r="AT30" s="1162">
        <v>68</v>
      </c>
      <c r="AU30" s="33"/>
      <c r="AV30" s="33"/>
      <c r="AW30" s="33"/>
      <c r="AX30" s="33"/>
      <c r="AY30" s="33"/>
      <c r="AZ30" s="33"/>
      <c r="BA30" s="33"/>
      <c r="BB30" s="33"/>
      <c r="BC30" s="33"/>
      <c r="BD30" s="1120" t="str">
        <f t="shared" si="21"/>
        <v>01</v>
      </c>
      <c r="BE30" s="1121" t="str">
        <f t="shared" si="22"/>
        <v>05</v>
      </c>
      <c r="BF30" s="1121" t="str">
        <f t="shared" si="23"/>
        <v>413010505</v>
      </c>
      <c r="BG30" s="1122" t="str">
        <f t="shared" si="8"/>
        <v>Front Drum</v>
      </c>
      <c r="BH30" s="1122">
        <f t="shared" si="9"/>
        <v>1</v>
      </c>
      <c r="BI30" s="1123">
        <f t="shared" si="10"/>
        <v>1</v>
      </c>
      <c r="BJ30" s="33"/>
      <c r="BK30" s="33"/>
      <c r="BL30" s="33"/>
      <c r="BM30" s="33"/>
      <c r="BN30" s="33"/>
      <c r="BO30" s="1128" t="str">
        <f t="shared" si="0"/>
        <v>مهره دنده درشت M10</v>
      </c>
      <c r="BP30" s="1129" t="str">
        <f t="shared" si="1"/>
        <v>M10-5-Electroplated-Din 934</v>
      </c>
      <c r="BQ30" s="1122" t="str">
        <f t="shared" si="2"/>
        <v>Pcs</v>
      </c>
      <c r="BR30" s="1122" t="str">
        <f t="shared" si="3"/>
        <v>000012010010</v>
      </c>
      <c r="BS30" s="1163">
        <f t="shared" si="4"/>
        <v>68</v>
      </c>
      <c r="BT30" s="33"/>
      <c r="BU30" s="33"/>
      <c r="BV30" s="33"/>
      <c r="BW30" s="33"/>
      <c r="BX30" s="33"/>
      <c r="BY30" s="33"/>
      <c r="BZ30" s="33"/>
      <c r="CA30" s="33"/>
      <c r="CB30" s="33"/>
      <c r="CC30" s="33"/>
      <c r="CD30" s="33"/>
      <c r="CE30" s="33"/>
      <c r="CF30" s="33"/>
      <c r="CG30" s="33"/>
      <c r="CH30" s="33"/>
      <c r="CI30" s="33"/>
      <c r="CJ30" s="33"/>
      <c r="CK30" s="33"/>
      <c r="CL30" s="33"/>
      <c r="CM30" s="33"/>
      <c r="CN30" s="33"/>
      <c r="CO30" s="33"/>
      <c r="CP30" s="33"/>
      <c r="CQ30" s="33"/>
      <c r="CR30" s="33"/>
      <c r="CS30" s="33"/>
      <c r="CT30" s="33"/>
      <c r="CU30" s="33"/>
      <c r="CV30" s="33"/>
      <c r="CW30" s="33"/>
      <c r="CX30" s="33"/>
      <c r="CY30" s="33"/>
      <c r="CZ30" s="33"/>
    </row>
    <row r="31" spans="1:104" ht="15.75" thickBot="1" x14ac:dyDescent="0.3">
      <c r="A31" s="1181">
        <v>24</v>
      </c>
      <c r="B31" s="284" t="s">
        <v>113</v>
      </c>
      <c r="C31" s="284" t="s">
        <v>143</v>
      </c>
      <c r="D31" s="285" t="s">
        <v>151</v>
      </c>
      <c r="E31" s="285" t="s">
        <v>18</v>
      </c>
      <c r="F31" s="285" t="s">
        <v>152</v>
      </c>
      <c r="G31" s="284" t="s">
        <v>24</v>
      </c>
      <c r="H31" s="284" t="s">
        <v>10</v>
      </c>
      <c r="I31" s="284" t="s">
        <v>22</v>
      </c>
      <c r="J31" s="290">
        <f>J30</f>
        <v>8</v>
      </c>
      <c r="K31" s="284" t="s">
        <v>30</v>
      </c>
      <c r="L31" s="290">
        <f>J31</f>
        <v>8</v>
      </c>
      <c r="M31" s="290">
        <f>J31</f>
        <v>8</v>
      </c>
      <c r="N31" s="286">
        <f t="shared" si="29"/>
        <v>0</v>
      </c>
      <c r="O31" s="641"/>
      <c r="P31" s="364">
        <f t="shared" si="11"/>
        <v>413</v>
      </c>
      <c r="Q31" s="365" t="s">
        <v>34</v>
      </c>
      <c r="R31" s="366" t="str">
        <f t="shared" si="12"/>
        <v>Front Drum</v>
      </c>
      <c r="S31" s="366">
        <v>1</v>
      </c>
      <c r="T31" s="365" t="s">
        <v>38</v>
      </c>
      <c r="U31" s="366" t="str">
        <f t="shared" si="13"/>
        <v>صفحه و شفت</v>
      </c>
      <c r="V31" s="367">
        <v>1</v>
      </c>
      <c r="W31" s="357" t="s">
        <v>39</v>
      </c>
      <c r="X31" s="368" t="str">
        <f t="shared" si="14"/>
        <v>413010506</v>
      </c>
      <c r="Y31" s="369" t="str">
        <f t="shared" si="15"/>
        <v>واشر فنری صفحه شفت</v>
      </c>
      <c r="Z31" s="367" t="s">
        <v>152</v>
      </c>
      <c r="AA31" s="367">
        <f t="shared" si="16"/>
        <v>8</v>
      </c>
      <c r="AB31" s="367">
        <f t="shared" si="5"/>
        <v>8</v>
      </c>
      <c r="AC31" s="932">
        <f t="shared" si="6"/>
        <v>8</v>
      </c>
      <c r="AD31" s="10"/>
      <c r="AE31" s="713" t="str">
        <f t="shared" si="17"/>
        <v>413010506</v>
      </c>
      <c r="AF31" s="714" t="str">
        <f t="shared" si="18"/>
        <v>واشر فنری صفحه شفت</v>
      </c>
      <c r="AG31" s="367" t="str">
        <f t="shared" si="19"/>
        <v>Spring Washer</v>
      </c>
      <c r="AH31" s="367" t="str">
        <f t="shared" si="26"/>
        <v>A14-F-Electroplated-Din 127</v>
      </c>
      <c r="AI31" s="714" t="s">
        <v>430</v>
      </c>
      <c r="AJ31" s="823" t="s">
        <v>391</v>
      </c>
      <c r="AK31" s="738" t="s">
        <v>484</v>
      </c>
      <c r="AL31" s="367" t="str">
        <f t="shared" si="25"/>
        <v>Pcs</v>
      </c>
      <c r="AM31" s="739">
        <f t="shared" si="7"/>
        <v>8</v>
      </c>
      <c r="AP31" s="1136" t="s">
        <v>429</v>
      </c>
      <c r="AQ31" s="1136" t="s">
        <v>492</v>
      </c>
      <c r="AR31" s="1136" t="s">
        <v>390</v>
      </c>
      <c r="AS31" s="1136" t="s">
        <v>30</v>
      </c>
      <c r="AT31" s="1162">
        <v>19</v>
      </c>
      <c r="AU31" s="33"/>
      <c r="AV31" s="33"/>
      <c r="AW31" s="33"/>
      <c r="AX31" s="33"/>
      <c r="AY31" s="33"/>
      <c r="AZ31" s="33"/>
      <c r="BA31" s="33"/>
      <c r="BB31" s="33"/>
      <c r="BC31" s="33"/>
      <c r="BD31" s="1120" t="str">
        <f t="shared" si="21"/>
        <v>01</v>
      </c>
      <c r="BE31" s="1121" t="str">
        <f t="shared" si="22"/>
        <v>06</v>
      </c>
      <c r="BF31" s="1121" t="str">
        <f t="shared" si="23"/>
        <v>413010506</v>
      </c>
      <c r="BG31" s="1122" t="str">
        <f t="shared" si="8"/>
        <v>Front Drum</v>
      </c>
      <c r="BH31" s="1122">
        <f t="shared" si="9"/>
        <v>1</v>
      </c>
      <c r="BI31" s="1123">
        <f t="shared" si="10"/>
        <v>1</v>
      </c>
      <c r="BJ31" s="33"/>
      <c r="BK31" s="33"/>
      <c r="BL31" s="33"/>
      <c r="BM31" s="33"/>
      <c r="BN31" s="33"/>
      <c r="BO31" s="1128" t="str">
        <f t="shared" si="0"/>
        <v>مهره دنده درشت M14</v>
      </c>
      <c r="BP31" s="1129" t="str">
        <f t="shared" si="1"/>
        <v>M14-5-Electroplated-Din 934</v>
      </c>
      <c r="BQ31" s="1122" t="str">
        <f t="shared" si="2"/>
        <v>Pcs</v>
      </c>
      <c r="BR31" s="1122" t="str">
        <f t="shared" si="3"/>
        <v>000012010014</v>
      </c>
      <c r="BS31" s="1163">
        <f t="shared" si="4"/>
        <v>19</v>
      </c>
      <c r="BT31" s="33"/>
      <c r="BU31" s="33"/>
      <c r="BV31" s="33"/>
      <c r="BW31" s="33"/>
      <c r="BX31" s="33"/>
      <c r="BY31" s="33"/>
      <c r="BZ31" s="33"/>
      <c r="CA31" s="33"/>
      <c r="CB31" s="33"/>
      <c r="CC31" s="33"/>
      <c r="CD31" s="33"/>
      <c r="CE31" s="33"/>
      <c r="CF31" s="33"/>
      <c r="CG31" s="33"/>
      <c r="CH31" s="33"/>
      <c r="CI31" s="33"/>
      <c r="CJ31" s="33"/>
      <c r="CK31" s="33"/>
      <c r="CL31" s="33"/>
      <c r="CM31" s="33"/>
      <c r="CN31" s="33"/>
      <c r="CO31" s="33"/>
      <c r="CP31" s="33"/>
      <c r="CQ31" s="33"/>
      <c r="CR31" s="33"/>
      <c r="CS31" s="33"/>
      <c r="CT31" s="33"/>
      <c r="CU31" s="33"/>
      <c r="CV31" s="33"/>
      <c r="CW31" s="33"/>
      <c r="CX31" s="33"/>
      <c r="CY31" s="33"/>
      <c r="CZ31" s="33"/>
    </row>
    <row r="32" spans="1:104" ht="15" x14ac:dyDescent="0.25">
      <c r="A32" s="1183">
        <v>25</v>
      </c>
      <c r="B32" s="64" t="s">
        <v>113</v>
      </c>
      <c r="C32" s="64" t="s">
        <v>153</v>
      </c>
      <c r="D32" s="63" t="s">
        <v>156</v>
      </c>
      <c r="E32" s="63" t="s">
        <v>3</v>
      </c>
      <c r="F32" s="63" t="s">
        <v>80</v>
      </c>
      <c r="G32" s="64">
        <v>4</v>
      </c>
      <c r="H32" s="64">
        <v>162</v>
      </c>
      <c r="I32" s="64">
        <f>IF(E1=1500,665,IF(E1=2000,915,IF(E1=2500,1165,1415)))</f>
        <v>915</v>
      </c>
      <c r="J32" s="64">
        <f>IF($E$1=1500,3,IF($E$1=2000,4,IF($E$1=2500,5,6)))</f>
        <v>4</v>
      </c>
      <c r="K32" s="64" t="s">
        <v>29</v>
      </c>
      <c r="L32" s="65">
        <f>G32*H32*I32*J32*7.85/1000000</f>
        <v>18.617688000000001</v>
      </c>
      <c r="M32" s="72">
        <f>((((1250-(INT(1250/H32)*H32))/(INT(1250/H32)))+H32)*G32*I32*J32*7.85)/1000000</f>
        <v>20.522142857142857</v>
      </c>
      <c r="N32" s="66">
        <f t="shared" si="29"/>
        <v>0.10229276895943554</v>
      </c>
      <c r="O32" s="641"/>
      <c r="P32" s="348">
        <f t="shared" si="11"/>
        <v>413</v>
      </c>
      <c r="Q32" s="41" t="s">
        <v>34</v>
      </c>
      <c r="R32" s="11" t="str">
        <f t="shared" si="12"/>
        <v>Front Drum</v>
      </c>
      <c r="S32" s="11">
        <v>1</v>
      </c>
      <c r="T32" s="41" t="s">
        <v>39</v>
      </c>
      <c r="U32" s="11" t="str">
        <f t="shared" si="13"/>
        <v>بازو</v>
      </c>
      <c r="V32" s="12">
        <v>1</v>
      </c>
      <c r="W32" s="41" t="s">
        <v>34</v>
      </c>
      <c r="X32" s="329" t="str">
        <f t="shared" si="14"/>
        <v>413010601</v>
      </c>
      <c r="Y32" s="13" t="str">
        <f t="shared" si="15"/>
        <v>ناودانی بازو</v>
      </c>
      <c r="Z32" s="12" t="str">
        <f>IF(E1=1500,"4x162x665",IF(E1=2000,"4x162x915",IF(E1=2500,"4x162x1165","4x162x1415")))</f>
        <v>4x162x915</v>
      </c>
      <c r="AA32" s="12">
        <f t="shared" si="16"/>
        <v>4</v>
      </c>
      <c r="AB32" s="12">
        <f t="shared" si="5"/>
        <v>4</v>
      </c>
      <c r="AC32" s="933">
        <f t="shared" si="6"/>
        <v>4</v>
      </c>
      <c r="AD32" s="10"/>
      <c r="AE32" s="30" t="str">
        <f t="shared" si="17"/>
        <v>413010601</v>
      </c>
      <c r="AF32" s="31" t="str">
        <f t="shared" si="18"/>
        <v>ناودانی بازو</v>
      </c>
      <c r="AG32" s="12" t="str">
        <f t="shared" si="19"/>
        <v>Plate</v>
      </c>
      <c r="AH32" s="12" t="str">
        <f>F32</f>
        <v>St-37</v>
      </c>
      <c r="AI32" s="746" t="s">
        <v>413</v>
      </c>
      <c r="AJ32" s="819" t="s">
        <v>464</v>
      </c>
      <c r="AK32" s="14">
        <f>M32/J32</f>
        <v>5.1305357142857142</v>
      </c>
      <c r="AL32" s="12" t="str">
        <f t="shared" si="25"/>
        <v>Kg</v>
      </c>
      <c r="AM32" s="15">
        <f t="shared" si="7"/>
        <v>20.522142857142857</v>
      </c>
      <c r="AN32" s="10"/>
      <c r="AP32" s="1136" t="s">
        <v>442</v>
      </c>
      <c r="AQ32" s="1136" t="s">
        <v>513</v>
      </c>
      <c r="AR32" s="1136" t="s">
        <v>396</v>
      </c>
      <c r="AS32" s="1136" t="s">
        <v>30</v>
      </c>
      <c r="AT32" s="1162">
        <v>4</v>
      </c>
      <c r="AV32" s="33"/>
      <c r="BD32" s="1120" t="str">
        <f t="shared" si="21"/>
        <v>01</v>
      </c>
      <c r="BE32" s="1121" t="str">
        <f t="shared" si="22"/>
        <v>01</v>
      </c>
      <c r="BF32" s="1121" t="str">
        <f t="shared" si="23"/>
        <v>413010601</v>
      </c>
      <c r="BG32" s="1122" t="str">
        <f t="shared" si="8"/>
        <v>Front Drum</v>
      </c>
      <c r="BH32" s="1122">
        <f t="shared" si="9"/>
        <v>1</v>
      </c>
      <c r="BI32" s="1123">
        <f t="shared" si="10"/>
        <v>1</v>
      </c>
      <c r="BO32" s="1128" t="str">
        <f t="shared" si="0"/>
        <v>مهره دنده درشت M18</v>
      </c>
      <c r="BP32" s="1129" t="str">
        <f t="shared" si="1"/>
        <v>M18-5-Electroplated-Din 934</v>
      </c>
      <c r="BQ32" s="1122" t="str">
        <f t="shared" si="2"/>
        <v>Pcs</v>
      </c>
      <c r="BR32" s="1122" t="str">
        <f t="shared" si="3"/>
        <v>000012010018</v>
      </c>
      <c r="BS32" s="1163">
        <f t="shared" si="4"/>
        <v>4</v>
      </c>
    </row>
    <row r="33" spans="1:71" ht="15" x14ac:dyDescent="0.25">
      <c r="A33" s="1185">
        <v>26</v>
      </c>
      <c r="B33" s="67" t="s">
        <v>113</v>
      </c>
      <c r="C33" s="67" t="s">
        <v>153</v>
      </c>
      <c r="D33" s="68" t="s">
        <v>157</v>
      </c>
      <c r="E33" s="68" t="s">
        <v>158</v>
      </c>
      <c r="F33" s="68" t="s">
        <v>159</v>
      </c>
      <c r="G33" s="67" t="s">
        <v>160</v>
      </c>
      <c r="H33" s="67">
        <v>22</v>
      </c>
      <c r="I33" s="67">
        <v>88</v>
      </c>
      <c r="J33" s="67">
        <f>J32*2</f>
        <v>8</v>
      </c>
      <c r="K33" s="67" t="s">
        <v>6</v>
      </c>
      <c r="L33" s="71">
        <f>J33*I33</f>
        <v>704</v>
      </c>
      <c r="M33" s="1184">
        <f>(((6000-(INT(6000/I33)*I33))/(INT(6000/I33)))+I33)*J33</f>
        <v>705.88235294117646</v>
      </c>
      <c r="N33" s="70">
        <f t="shared" si="29"/>
        <v>2.6737967914438406E-3</v>
      </c>
      <c r="O33" s="641"/>
      <c r="P33" s="349">
        <f t="shared" si="11"/>
        <v>413</v>
      </c>
      <c r="Q33" s="43" t="s">
        <v>34</v>
      </c>
      <c r="R33" s="16" t="str">
        <f t="shared" si="12"/>
        <v>Front Drum</v>
      </c>
      <c r="S33" s="16">
        <v>1</v>
      </c>
      <c r="T33" s="43" t="s">
        <v>39</v>
      </c>
      <c r="U33" s="16" t="str">
        <f t="shared" si="13"/>
        <v>بازو</v>
      </c>
      <c r="V33" s="17">
        <v>1</v>
      </c>
      <c r="W33" s="43" t="s">
        <v>35</v>
      </c>
      <c r="X33" s="328" t="str">
        <f t="shared" si="14"/>
        <v>413010602</v>
      </c>
      <c r="Y33" s="18" t="str">
        <f t="shared" si="15"/>
        <v>لوله تقویتی ناودانی بازو</v>
      </c>
      <c r="Z33" s="17" t="s">
        <v>350</v>
      </c>
      <c r="AA33" s="17">
        <f t="shared" si="16"/>
        <v>8</v>
      </c>
      <c r="AB33" s="17">
        <f t="shared" si="5"/>
        <v>8</v>
      </c>
      <c r="AC33" s="934">
        <f t="shared" si="6"/>
        <v>8</v>
      </c>
      <c r="AD33" s="10"/>
      <c r="AE33" s="29" t="str">
        <f t="shared" si="17"/>
        <v>413010602</v>
      </c>
      <c r="AF33" s="27" t="str">
        <f t="shared" si="18"/>
        <v>لوله تقویتی ناودانی بازو</v>
      </c>
      <c r="AG33" s="17" t="str">
        <f t="shared" si="19"/>
        <v>Pipe</v>
      </c>
      <c r="AH33" s="17" t="str">
        <f>F33&amp;"-"&amp;G33</f>
        <v>A-53-1/2"-Sch30</v>
      </c>
      <c r="AI33" s="747" t="s">
        <v>431</v>
      </c>
      <c r="AJ33" s="820" t="s">
        <v>107</v>
      </c>
      <c r="AK33" s="19">
        <v>1</v>
      </c>
      <c r="AL33" s="17" t="str">
        <f t="shared" si="25"/>
        <v>mm</v>
      </c>
      <c r="AM33" s="20">
        <f t="shared" si="7"/>
        <v>8</v>
      </c>
      <c r="AP33" s="1136" t="s">
        <v>424</v>
      </c>
      <c r="AQ33" s="1136" t="s">
        <v>486</v>
      </c>
      <c r="AR33" s="1136" t="s">
        <v>104</v>
      </c>
      <c r="AS33" s="1136" t="s">
        <v>30</v>
      </c>
      <c r="AT33" s="1162">
        <v>186</v>
      </c>
      <c r="AV33" s="33"/>
      <c r="BD33" s="1120" t="str">
        <f t="shared" si="21"/>
        <v>01</v>
      </c>
      <c r="BE33" s="1121" t="str">
        <f t="shared" si="22"/>
        <v>02</v>
      </c>
      <c r="BF33" s="1121" t="str">
        <f t="shared" si="23"/>
        <v>413010602</v>
      </c>
      <c r="BG33" s="1122" t="str">
        <f t="shared" si="8"/>
        <v>Front Drum</v>
      </c>
      <c r="BH33" s="1122">
        <f t="shared" si="9"/>
        <v>1</v>
      </c>
      <c r="BI33" s="1123">
        <f t="shared" si="10"/>
        <v>1</v>
      </c>
      <c r="BO33" s="1128" t="str">
        <f t="shared" si="0"/>
        <v>مهره دنده درشت M6</v>
      </c>
      <c r="BP33" s="1129" t="str">
        <f t="shared" si="1"/>
        <v>M6-5-Electroplated-Din 934</v>
      </c>
      <c r="BQ33" s="1122" t="str">
        <f t="shared" si="2"/>
        <v>Pcs</v>
      </c>
      <c r="BR33" s="1122" t="str">
        <f t="shared" si="3"/>
        <v>000012010006</v>
      </c>
      <c r="BS33" s="1163">
        <f t="shared" si="4"/>
        <v>186</v>
      </c>
    </row>
    <row r="34" spans="1:71" ht="15" x14ac:dyDescent="0.25">
      <c r="A34" s="1179">
        <v>27</v>
      </c>
      <c r="B34" s="67" t="s">
        <v>113</v>
      </c>
      <c r="C34" s="67" t="s">
        <v>153</v>
      </c>
      <c r="D34" s="68" t="s">
        <v>161</v>
      </c>
      <c r="E34" s="68" t="s">
        <v>3</v>
      </c>
      <c r="F34" s="68" t="s">
        <v>80</v>
      </c>
      <c r="G34" s="67">
        <v>8</v>
      </c>
      <c r="H34" s="67">
        <v>155</v>
      </c>
      <c r="I34" s="67">
        <v>270</v>
      </c>
      <c r="J34" s="67">
        <f>J32</f>
        <v>4</v>
      </c>
      <c r="K34" s="67" t="s">
        <v>29</v>
      </c>
      <c r="L34" s="69">
        <f>G34*H34*I34*J34*7.85/1000000</f>
        <v>10.51272</v>
      </c>
      <c r="M34" s="69">
        <f>((((1500-(INT(1500/H34)*H34))/(INT(1500/H34)))+H34)*G34*I34*J34*7.85)/1000000</f>
        <v>11.304</v>
      </c>
      <c r="N34" s="70">
        <f t="shared" si="29"/>
        <v>7.5268817204301119E-2</v>
      </c>
      <c r="O34" s="641"/>
      <c r="P34" s="349">
        <f t="shared" si="11"/>
        <v>413</v>
      </c>
      <c r="Q34" s="43" t="s">
        <v>34</v>
      </c>
      <c r="R34" s="16" t="str">
        <f t="shared" si="12"/>
        <v>Front Drum</v>
      </c>
      <c r="S34" s="16">
        <v>1</v>
      </c>
      <c r="T34" s="43" t="s">
        <v>39</v>
      </c>
      <c r="U34" s="16" t="str">
        <f t="shared" si="13"/>
        <v>بازو</v>
      </c>
      <c r="V34" s="17">
        <v>1</v>
      </c>
      <c r="W34" s="43" t="s">
        <v>36</v>
      </c>
      <c r="X34" s="328" t="str">
        <f t="shared" si="14"/>
        <v>413010603</v>
      </c>
      <c r="Y34" s="18" t="str">
        <f t="shared" si="15"/>
        <v>ورق اتصال مثلثی</v>
      </c>
      <c r="Z34" s="17" t="s">
        <v>351</v>
      </c>
      <c r="AA34" s="17">
        <f t="shared" si="16"/>
        <v>4</v>
      </c>
      <c r="AB34" s="17">
        <f t="shared" si="5"/>
        <v>4</v>
      </c>
      <c r="AC34" s="934">
        <f t="shared" si="6"/>
        <v>4</v>
      </c>
      <c r="AD34" s="10"/>
      <c r="AE34" s="29" t="str">
        <f t="shared" si="17"/>
        <v>413010603</v>
      </c>
      <c r="AF34" s="27" t="str">
        <f t="shared" si="18"/>
        <v>ورق اتصال مثلثی</v>
      </c>
      <c r="AG34" s="17" t="str">
        <f t="shared" si="19"/>
        <v>Plate</v>
      </c>
      <c r="AH34" s="17" t="str">
        <f>F34</f>
        <v>St-37</v>
      </c>
      <c r="AI34" s="747" t="s">
        <v>432</v>
      </c>
      <c r="AJ34" s="820" t="s">
        <v>472</v>
      </c>
      <c r="AK34" s="19">
        <f>M34/J34</f>
        <v>2.8260000000000001</v>
      </c>
      <c r="AL34" s="17" t="str">
        <f t="shared" si="25"/>
        <v>Kg</v>
      </c>
      <c r="AM34" s="20">
        <f t="shared" si="7"/>
        <v>11.304</v>
      </c>
      <c r="AN34" s="10"/>
      <c r="AP34" s="1136" t="s">
        <v>416</v>
      </c>
      <c r="AQ34" s="1136" t="s">
        <v>487</v>
      </c>
      <c r="AR34" s="1136" t="s">
        <v>110</v>
      </c>
      <c r="AS34" s="1136" t="s">
        <v>30</v>
      </c>
      <c r="AT34" s="1162">
        <v>48</v>
      </c>
      <c r="AV34" s="33"/>
      <c r="BD34" s="1120" t="str">
        <f t="shared" si="21"/>
        <v>01</v>
      </c>
      <c r="BE34" s="1121" t="str">
        <f t="shared" si="22"/>
        <v>03</v>
      </c>
      <c r="BF34" s="1121" t="str">
        <f t="shared" si="23"/>
        <v>413010603</v>
      </c>
      <c r="BG34" s="1122" t="str">
        <f t="shared" si="8"/>
        <v>Front Drum</v>
      </c>
      <c r="BH34" s="1122">
        <f t="shared" si="9"/>
        <v>1</v>
      </c>
      <c r="BI34" s="1123">
        <f t="shared" si="10"/>
        <v>1</v>
      </c>
      <c r="BO34" s="1128" t="str">
        <f t="shared" si="0"/>
        <v>مهره دنده درشت M8</v>
      </c>
      <c r="BP34" s="1129" t="str">
        <f t="shared" si="1"/>
        <v>M8-5-Electroplated-Din 934</v>
      </c>
      <c r="BQ34" s="1122" t="str">
        <f t="shared" si="2"/>
        <v>Pcs</v>
      </c>
      <c r="BR34" s="1122" t="str">
        <f t="shared" si="3"/>
        <v>000012010008</v>
      </c>
      <c r="BS34" s="1163">
        <f t="shared" si="4"/>
        <v>48</v>
      </c>
    </row>
    <row r="35" spans="1:71" ht="15" x14ac:dyDescent="0.25">
      <c r="A35" s="1185">
        <v>28</v>
      </c>
      <c r="B35" s="67" t="s">
        <v>113</v>
      </c>
      <c r="C35" s="67" t="s">
        <v>153</v>
      </c>
      <c r="D35" s="68" t="s">
        <v>162</v>
      </c>
      <c r="E35" s="68" t="s">
        <v>8</v>
      </c>
      <c r="F35" s="68" t="s">
        <v>163</v>
      </c>
      <c r="G35" s="67">
        <v>5.6</v>
      </c>
      <c r="H35" s="67" t="s">
        <v>10</v>
      </c>
      <c r="I35" s="67" t="s">
        <v>20</v>
      </c>
      <c r="J35" s="67">
        <f>2*J34</f>
        <v>8</v>
      </c>
      <c r="K35" s="67" t="s">
        <v>30</v>
      </c>
      <c r="L35" s="71">
        <f t="shared" ref="L35:L40" si="30">J35</f>
        <v>8</v>
      </c>
      <c r="M35" s="71">
        <f t="shared" ref="M35:M40" si="31">J35</f>
        <v>8</v>
      </c>
      <c r="N35" s="70">
        <f t="shared" si="29"/>
        <v>0</v>
      </c>
      <c r="O35" s="641"/>
      <c r="P35" s="349">
        <f t="shared" si="11"/>
        <v>413</v>
      </c>
      <c r="Q35" s="43" t="s">
        <v>34</v>
      </c>
      <c r="R35" s="16" t="str">
        <f t="shared" si="12"/>
        <v>Front Drum</v>
      </c>
      <c r="S35" s="16">
        <v>1</v>
      </c>
      <c r="T35" s="43" t="s">
        <v>39</v>
      </c>
      <c r="U35" s="16" t="str">
        <f t="shared" si="13"/>
        <v>بازو</v>
      </c>
      <c r="V35" s="17">
        <v>1</v>
      </c>
      <c r="W35" s="43" t="s">
        <v>37</v>
      </c>
      <c r="X35" s="328" t="str">
        <f t="shared" si="14"/>
        <v>413010604</v>
      </c>
      <c r="Y35" s="18" t="str">
        <f t="shared" si="15"/>
        <v>پیچ اتصال صفحه مثلثی به بدنه</v>
      </c>
      <c r="Z35" s="17" t="s">
        <v>163</v>
      </c>
      <c r="AA35" s="17">
        <f t="shared" si="16"/>
        <v>8</v>
      </c>
      <c r="AB35" s="17">
        <f t="shared" si="5"/>
        <v>8</v>
      </c>
      <c r="AC35" s="934">
        <f t="shared" si="6"/>
        <v>8</v>
      </c>
      <c r="AD35" s="10"/>
      <c r="AE35" s="29" t="str">
        <f t="shared" si="17"/>
        <v>413010604</v>
      </c>
      <c r="AF35" s="27" t="str">
        <f t="shared" si="18"/>
        <v>پیچ اتصال صفحه مثلثی به بدنه</v>
      </c>
      <c r="AG35" s="17" t="str">
        <f t="shared" si="19"/>
        <v>Hex Bolt</v>
      </c>
      <c r="AH35" s="17" t="str">
        <f t="shared" si="26"/>
        <v>M8x30-5.6-Electroplated-Din 933</v>
      </c>
      <c r="AI35" s="747" t="s">
        <v>433</v>
      </c>
      <c r="AJ35" s="820" t="s">
        <v>392</v>
      </c>
      <c r="AK35" s="19">
        <v>1</v>
      </c>
      <c r="AL35" s="17" t="str">
        <f t="shared" si="25"/>
        <v>Pcs</v>
      </c>
      <c r="AM35" s="20">
        <f t="shared" si="7"/>
        <v>8</v>
      </c>
      <c r="AP35" s="1136" t="s">
        <v>460</v>
      </c>
      <c r="AQ35" s="1136" t="s">
        <v>232</v>
      </c>
      <c r="AR35" s="1136" t="s">
        <v>479</v>
      </c>
      <c r="AS35" s="1136" t="s">
        <v>29</v>
      </c>
      <c r="AT35" s="1162">
        <v>4.2646909090909089E-2</v>
      </c>
      <c r="AV35" s="33"/>
      <c r="BD35" s="1120" t="str">
        <f t="shared" si="21"/>
        <v>01</v>
      </c>
      <c r="BE35" s="1121" t="str">
        <f t="shared" si="22"/>
        <v>04</v>
      </c>
      <c r="BF35" s="1121" t="str">
        <f t="shared" si="23"/>
        <v>413010604</v>
      </c>
      <c r="BG35" s="1122" t="str">
        <f t="shared" si="8"/>
        <v>Front Drum</v>
      </c>
      <c r="BH35" s="1122">
        <f t="shared" si="9"/>
        <v>1</v>
      </c>
      <c r="BI35" s="1123">
        <f t="shared" si="10"/>
        <v>1</v>
      </c>
      <c r="BO35" s="1128" t="str">
        <f t="shared" si="0"/>
        <v>میل چهارگوش آهن 6*6</v>
      </c>
      <c r="BP35" s="1129" t="str">
        <f t="shared" si="1"/>
        <v>A-36</v>
      </c>
      <c r="BQ35" s="1122" t="str">
        <f t="shared" si="2"/>
        <v>Kg</v>
      </c>
      <c r="BR35" s="1122" t="str">
        <f t="shared" si="3"/>
        <v>00025140006</v>
      </c>
      <c r="BS35" s="1163">
        <f t="shared" si="4"/>
        <v>4.2646909090909089E-2</v>
      </c>
    </row>
    <row r="36" spans="1:71" ht="15" x14ac:dyDescent="0.25">
      <c r="A36" s="1185">
        <v>29</v>
      </c>
      <c r="B36" s="67" t="s">
        <v>113</v>
      </c>
      <c r="C36" s="67" t="s">
        <v>153</v>
      </c>
      <c r="D36" s="68" t="s">
        <v>164</v>
      </c>
      <c r="E36" s="68" t="s">
        <v>9</v>
      </c>
      <c r="F36" s="68" t="s">
        <v>27</v>
      </c>
      <c r="G36" s="67">
        <v>5</v>
      </c>
      <c r="H36" s="67" t="s">
        <v>10</v>
      </c>
      <c r="I36" s="67" t="s">
        <v>21</v>
      </c>
      <c r="J36" s="67">
        <f>J35</f>
        <v>8</v>
      </c>
      <c r="K36" s="67" t="s">
        <v>30</v>
      </c>
      <c r="L36" s="71">
        <f t="shared" si="30"/>
        <v>8</v>
      </c>
      <c r="M36" s="71">
        <f t="shared" si="31"/>
        <v>8</v>
      </c>
      <c r="N36" s="70">
        <f t="shared" si="29"/>
        <v>0</v>
      </c>
      <c r="O36" s="641"/>
      <c r="P36" s="349">
        <f t="shared" si="11"/>
        <v>413</v>
      </c>
      <c r="Q36" s="43" t="s">
        <v>34</v>
      </c>
      <c r="R36" s="16" t="str">
        <f t="shared" si="12"/>
        <v>Front Drum</v>
      </c>
      <c r="S36" s="16">
        <v>1</v>
      </c>
      <c r="T36" s="43" t="s">
        <v>39</v>
      </c>
      <c r="U36" s="16" t="str">
        <f t="shared" si="13"/>
        <v>بازو</v>
      </c>
      <c r="V36" s="17">
        <v>1</v>
      </c>
      <c r="W36" s="43" t="s">
        <v>38</v>
      </c>
      <c r="X36" s="328" t="str">
        <f t="shared" si="14"/>
        <v>413010605</v>
      </c>
      <c r="Y36" s="18" t="str">
        <f t="shared" si="15"/>
        <v>مهره اتصال صفحه مثلثی به بدنه</v>
      </c>
      <c r="Z36" s="17" t="s">
        <v>340</v>
      </c>
      <c r="AA36" s="17">
        <f t="shared" si="16"/>
        <v>8</v>
      </c>
      <c r="AB36" s="17">
        <f t="shared" si="5"/>
        <v>8</v>
      </c>
      <c r="AC36" s="934">
        <f t="shared" si="6"/>
        <v>8</v>
      </c>
      <c r="AD36" s="10"/>
      <c r="AE36" s="29" t="str">
        <f t="shared" si="17"/>
        <v>413010605</v>
      </c>
      <c r="AF36" s="27" t="str">
        <f t="shared" si="18"/>
        <v>مهره اتصال صفحه مثلثی به بدنه</v>
      </c>
      <c r="AG36" s="17" t="str">
        <f t="shared" si="19"/>
        <v>Hex Nut</v>
      </c>
      <c r="AH36" s="17" t="str">
        <f t="shared" si="26"/>
        <v>M8-5-Electroplated-Din 934</v>
      </c>
      <c r="AI36" s="747" t="s">
        <v>416</v>
      </c>
      <c r="AJ36" s="820" t="s">
        <v>110</v>
      </c>
      <c r="AK36" s="19">
        <v>1</v>
      </c>
      <c r="AL36" s="17" t="str">
        <f t="shared" si="25"/>
        <v>Pcs</v>
      </c>
      <c r="AM36" s="20">
        <f t="shared" si="7"/>
        <v>8</v>
      </c>
      <c r="AN36" s="10"/>
      <c r="AP36" s="1136" t="s">
        <v>459</v>
      </c>
      <c r="AQ36" s="1136" t="s">
        <v>232</v>
      </c>
      <c r="AR36" s="1136" t="s">
        <v>481</v>
      </c>
      <c r="AS36" s="1136" t="s">
        <v>29</v>
      </c>
      <c r="AT36" s="1162">
        <v>1.2247074070945945</v>
      </c>
      <c r="AV36" s="33"/>
      <c r="BD36" s="1120" t="str">
        <f t="shared" si="21"/>
        <v>01</v>
      </c>
      <c r="BE36" s="1121" t="str">
        <f t="shared" si="22"/>
        <v>05</v>
      </c>
      <c r="BF36" s="1121" t="str">
        <f t="shared" si="23"/>
        <v>413010605</v>
      </c>
      <c r="BG36" s="1122" t="str">
        <f t="shared" si="8"/>
        <v>Front Drum</v>
      </c>
      <c r="BH36" s="1122">
        <f t="shared" si="9"/>
        <v>1</v>
      </c>
      <c r="BI36" s="1123">
        <f t="shared" si="10"/>
        <v>1</v>
      </c>
      <c r="BO36" s="1128" t="str">
        <f t="shared" ref="BO36:BO62" si="32">AP36</f>
        <v>میلگرد آهن 35</v>
      </c>
      <c r="BP36" s="1129" t="str">
        <f t="shared" ref="BP36:BP62" si="33">AQ36</f>
        <v>A-36</v>
      </c>
      <c r="BQ36" s="1122" t="str">
        <f t="shared" ref="BQ36:BQ62" si="34">AS36</f>
        <v>Kg</v>
      </c>
      <c r="BR36" s="1122" t="str">
        <f t="shared" ref="BR36:BR62" si="35">AR36</f>
        <v>0000251100035</v>
      </c>
      <c r="BS36" s="1163">
        <f t="shared" ref="BS36:BS62" si="36">AT36*$BA$5</f>
        <v>1.2247074070945945</v>
      </c>
    </row>
    <row r="37" spans="1:71" ht="15" x14ac:dyDescent="0.25">
      <c r="A37" s="1185">
        <v>30</v>
      </c>
      <c r="B37" s="67" t="s">
        <v>113</v>
      </c>
      <c r="C37" s="67" t="s">
        <v>153</v>
      </c>
      <c r="D37" s="68" t="s">
        <v>165</v>
      </c>
      <c r="E37" s="68" t="s">
        <v>18</v>
      </c>
      <c r="F37" s="68" t="s">
        <v>28</v>
      </c>
      <c r="G37" s="67" t="s">
        <v>24</v>
      </c>
      <c r="H37" s="67" t="s">
        <v>10</v>
      </c>
      <c r="I37" s="67" t="s">
        <v>22</v>
      </c>
      <c r="J37" s="67">
        <f>J36</f>
        <v>8</v>
      </c>
      <c r="K37" s="67" t="s">
        <v>30</v>
      </c>
      <c r="L37" s="71">
        <f t="shared" si="30"/>
        <v>8</v>
      </c>
      <c r="M37" s="71">
        <f t="shared" si="31"/>
        <v>8</v>
      </c>
      <c r="N37" s="70">
        <f t="shared" si="29"/>
        <v>0</v>
      </c>
      <c r="O37" s="641"/>
      <c r="P37" s="349">
        <f t="shared" si="11"/>
        <v>413</v>
      </c>
      <c r="Q37" s="43" t="s">
        <v>34</v>
      </c>
      <c r="R37" s="16" t="str">
        <f t="shared" si="12"/>
        <v>Front Drum</v>
      </c>
      <c r="S37" s="16">
        <v>1</v>
      </c>
      <c r="T37" s="43" t="s">
        <v>39</v>
      </c>
      <c r="U37" s="16" t="str">
        <f t="shared" si="13"/>
        <v>بازو</v>
      </c>
      <c r="V37" s="17">
        <v>1</v>
      </c>
      <c r="W37" s="43" t="s">
        <v>39</v>
      </c>
      <c r="X37" s="328" t="str">
        <f t="shared" si="14"/>
        <v>413010606</v>
      </c>
      <c r="Y37" s="18" t="str">
        <f t="shared" si="15"/>
        <v>واشر فنری اتصال صفحه مثلثی به بدنه</v>
      </c>
      <c r="Z37" s="17" t="s">
        <v>28</v>
      </c>
      <c r="AA37" s="17">
        <f t="shared" si="16"/>
        <v>8</v>
      </c>
      <c r="AB37" s="17">
        <f t="shared" si="5"/>
        <v>8</v>
      </c>
      <c r="AC37" s="934">
        <f t="shared" si="6"/>
        <v>8</v>
      </c>
      <c r="AD37" s="10"/>
      <c r="AE37" s="29" t="str">
        <f t="shared" si="17"/>
        <v>413010606</v>
      </c>
      <c r="AF37" s="27" t="str">
        <f t="shared" si="18"/>
        <v>واشر فنری اتصال صفحه مثلثی به بدنه</v>
      </c>
      <c r="AG37" s="17" t="str">
        <f t="shared" si="19"/>
        <v>Spring Washer</v>
      </c>
      <c r="AH37" s="17" t="str">
        <f t="shared" si="26"/>
        <v>A8-F-Electroplated-Din 127</v>
      </c>
      <c r="AI37" s="747" t="s">
        <v>417</v>
      </c>
      <c r="AJ37" s="820" t="s">
        <v>384</v>
      </c>
      <c r="AK37" s="19">
        <v>1</v>
      </c>
      <c r="AL37" s="17" t="str">
        <f t="shared" si="25"/>
        <v>Pcs</v>
      </c>
      <c r="AM37" s="20">
        <f t="shared" si="7"/>
        <v>8</v>
      </c>
      <c r="AP37" s="1136" t="s">
        <v>426</v>
      </c>
      <c r="AQ37" s="1136" t="s">
        <v>232</v>
      </c>
      <c r="AR37" s="1136" t="s">
        <v>470</v>
      </c>
      <c r="AS37" s="1136" t="s">
        <v>29</v>
      </c>
      <c r="AT37" s="1162">
        <v>9.9773993824728269</v>
      </c>
      <c r="AV37" s="33"/>
      <c r="BD37" s="1120" t="str">
        <f t="shared" si="21"/>
        <v>01</v>
      </c>
      <c r="BE37" s="1121" t="str">
        <f t="shared" si="22"/>
        <v>06</v>
      </c>
      <c r="BF37" s="1121" t="str">
        <f t="shared" si="23"/>
        <v>413010606</v>
      </c>
      <c r="BG37" s="1122" t="str">
        <f t="shared" si="8"/>
        <v>Front Drum</v>
      </c>
      <c r="BH37" s="1122">
        <f t="shared" si="9"/>
        <v>1</v>
      </c>
      <c r="BI37" s="1123">
        <f t="shared" si="10"/>
        <v>1</v>
      </c>
      <c r="BO37" s="1128" t="str">
        <f t="shared" si="32"/>
        <v>میلگرد آهن 65</v>
      </c>
      <c r="BP37" s="1129" t="str">
        <f t="shared" si="33"/>
        <v>A-36</v>
      </c>
      <c r="BQ37" s="1122" t="str">
        <f t="shared" si="34"/>
        <v>Kg</v>
      </c>
      <c r="BR37" s="1122" t="str">
        <f t="shared" si="35"/>
        <v>000251100065</v>
      </c>
      <c r="BS37" s="1163">
        <f t="shared" si="36"/>
        <v>9.9773993824728269</v>
      </c>
    </row>
    <row r="38" spans="1:71" ht="15" x14ac:dyDescent="0.25">
      <c r="A38" s="1171">
        <v>31</v>
      </c>
      <c r="B38" s="67" t="s">
        <v>113</v>
      </c>
      <c r="C38" s="67" t="s">
        <v>153</v>
      </c>
      <c r="D38" s="68" t="s">
        <v>166</v>
      </c>
      <c r="E38" s="68" t="s">
        <v>8</v>
      </c>
      <c r="F38" s="68" t="s">
        <v>23</v>
      </c>
      <c r="G38" s="67">
        <v>5.6</v>
      </c>
      <c r="H38" s="67" t="s">
        <v>10</v>
      </c>
      <c r="I38" s="67" t="s">
        <v>20</v>
      </c>
      <c r="J38" s="67">
        <f>2*J34</f>
        <v>8</v>
      </c>
      <c r="K38" s="67" t="s">
        <v>30</v>
      </c>
      <c r="L38" s="71">
        <f t="shared" si="30"/>
        <v>8</v>
      </c>
      <c r="M38" s="71">
        <f t="shared" si="31"/>
        <v>8</v>
      </c>
      <c r="N38" s="70">
        <f t="shared" si="29"/>
        <v>0</v>
      </c>
      <c r="O38" s="641"/>
      <c r="P38" s="349">
        <f t="shared" si="11"/>
        <v>413</v>
      </c>
      <c r="Q38" s="43" t="s">
        <v>34</v>
      </c>
      <c r="R38" s="16" t="str">
        <f t="shared" si="12"/>
        <v>Front Drum</v>
      </c>
      <c r="S38" s="16">
        <v>1</v>
      </c>
      <c r="T38" s="43" t="s">
        <v>39</v>
      </c>
      <c r="U38" s="16" t="str">
        <f t="shared" si="13"/>
        <v>بازو</v>
      </c>
      <c r="V38" s="17">
        <v>1</v>
      </c>
      <c r="W38" s="43" t="s">
        <v>40</v>
      </c>
      <c r="X38" s="328" t="str">
        <f t="shared" si="14"/>
        <v>413010607</v>
      </c>
      <c r="Y38" s="18" t="str">
        <f t="shared" si="15"/>
        <v>پیچ لتصال صفحه مثلثی به بازو</v>
      </c>
      <c r="Z38" s="17" t="s">
        <v>352</v>
      </c>
      <c r="AA38" s="17">
        <f t="shared" si="16"/>
        <v>8</v>
      </c>
      <c r="AB38" s="17">
        <f t="shared" si="5"/>
        <v>8</v>
      </c>
      <c r="AC38" s="934">
        <f t="shared" si="6"/>
        <v>8</v>
      </c>
      <c r="AD38" s="10"/>
      <c r="AE38" s="29" t="str">
        <f t="shared" si="17"/>
        <v>413010607</v>
      </c>
      <c r="AF38" s="27" t="str">
        <f t="shared" si="18"/>
        <v>پیچ لتصال صفحه مثلثی به بازو</v>
      </c>
      <c r="AG38" s="17" t="str">
        <f t="shared" si="19"/>
        <v>Hex Bolt</v>
      </c>
      <c r="AH38" s="17" t="str">
        <f t="shared" si="26"/>
        <v>M10x30-5.6-Electroplated-Din 933</v>
      </c>
      <c r="AI38" s="747" t="s">
        <v>434</v>
      </c>
      <c r="AJ38" s="820" t="s">
        <v>108</v>
      </c>
      <c r="AK38" s="19">
        <v>1</v>
      </c>
      <c r="AL38" s="17" t="str">
        <f t="shared" si="25"/>
        <v>Pcs</v>
      </c>
      <c r="AM38" s="20">
        <f t="shared" si="7"/>
        <v>8</v>
      </c>
      <c r="AN38" s="10"/>
      <c r="AP38" s="1136" t="s">
        <v>455</v>
      </c>
      <c r="AQ38" s="1136" t="s">
        <v>270</v>
      </c>
      <c r="AR38" s="1136" t="s">
        <v>478</v>
      </c>
      <c r="AS38" s="1136" t="s">
        <v>29</v>
      </c>
      <c r="AT38" s="1162">
        <v>0.22298367000000008</v>
      </c>
      <c r="AV38" s="33"/>
      <c r="BD38" s="1120" t="str">
        <f t="shared" si="21"/>
        <v>01</v>
      </c>
      <c r="BE38" s="1121" t="str">
        <f t="shared" si="22"/>
        <v>07</v>
      </c>
      <c r="BF38" s="1121" t="str">
        <f t="shared" si="23"/>
        <v>413010607</v>
      </c>
      <c r="BG38" s="1122" t="str">
        <f t="shared" si="8"/>
        <v>Front Drum</v>
      </c>
      <c r="BH38" s="1122">
        <f t="shared" si="9"/>
        <v>1</v>
      </c>
      <c r="BI38" s="1123">
        <f t="shared" si="10"/>
        <v>1</v>
      </c>
      <c r="BO38" s="1128" t="str">
        <f t="shared" si="32"/>
        <v>میلگرد پلی اتیلن سفید 65</v>
      </c>
      <c r="BP38" s="1129" t="str">
        <f t="shared" si="33"/>
        <v>PE</v>
      </c>
      <c r="BQ38" s="1122" t="str">
        <f t="shared" si="34"/>
        <v>Kg</v>
      </c>
      <c r="BR38" s="1122" t="str">
        <f t="shared" si="35"/>
        <v>000259110065</v>
      </c>
      <c r="BS38" s="1163">
        <f t="shared" si="36"/>
        <v>0.22298367000000008</v>
      </c>
    </row>
    <row r="39" spans="1:71" ht="15" x14ac:dyDescent="0.25">
      <c r="A39" s="1171">
        <v>32</v>
      </c>
      <c r="B39" s="67" t="s">
        <v>113</v>
      </c>
      <c r="C39" s="67" t="s">
        <v>153</v>
      </c>
      <c r="D39" s="68" t="s">
        <v>167</v>
      </c>
      <c r="E39" s="68" t="s">
        <v>9</v>
      </c>
      <c r="F39" s="68" t="s">
        <v>17</v>
      </c>
      <c r="G39" s="67">
        <v>5</v>
      </c>
      <c r="H39" s="67" t="s">
        <v>10</v>
      </c>
      <c r="I39" s="67" t="s">
        <v>21</v>
      </c>
      <c r="J39" s="67">
        <f>J38</f>
        <v>8</v>
      </c>
      <c r="K39" s="67" t="s">
        <v>30</v>
      </c>
      <c r="L39" s="71">
        <f t="shared" si="30"/>
        <v>8</v>
      </c>
      <c r="M39" s="71">
        <f t="shared" si="31"/>
        <v>8</v>
      </c>
      <c r="N39" s="70">
        <f t="shared" si="29"/>
        <v>0</v>
      </c>
      <c r="O39" s="641"/>
      <c r="P39" s="349">
        <f t="shared" si="11"/>
        <v>413</v>
      </c>
      <c r="Q39" s="43" t="s">
        <v>34</v>
      </c>
      <c r="R39" s="16" t="str">
        <f t="shared" si="12"/>
        <v>Front Drum</v>
      </c>
      <c r="S39" s="16">
        <v>1</v>
      </c>
      <c r="T39" s="43" t="s">
        <v>39</v>
      </c>
      <c r="U39" s="16" t="str">
        <f t="shared" si="13"/>
        <v>بازو</v>
      </c>
      <c r="V39" s="17">
        <v>1</v>
      </c>
      <c r="W39" s="43" t="s">
        <v>41</v>
      </c>
      <c r="X39" s="328" t="str">
        <f t="shared" si="14"/>
        <v>413010608</v>
      </c>
      <c r="Y39" s="18" t="str">
        <f t="shared" si="15"/>
        <v>مهره لتصال صفحه مثلثی به بازو</v>
      </c>
      <c r="Z39" s="17" t="s">
        <v>17</v>
      </c>
      <c r="AA39" s="17">
        <f t="shared" si="16"/>
        <v>8</v>
      </c>
      <c r="AB39" s="17">
        <f t="shared" si="5"/>
        <v>8</v>
      </c>
      <c r="AC39" s="934">
        <f t="shared" si="6"/>
        <v>8</v>
      </c>
      <c r="AD39" s="10"/>
      <c r="AE39" s="29" t="str">
        <f t="shared" si="17"/>
        <v>413010608</v>
      </c>
      <c r="AF39" s="27" t="str">
        <f t="shared" si="18"/>
        <v>مهره لتصال صفحه مثلثی به بازو</v>
      </c>
      <c r="AG39" s="17" t="str">
        <f t="shared" si="19"/>
        <v>Hex Nut</v>
      </c>
      <c r="AH39" s="17" t="str">
        <f t="shared" si="26"/>
        <v>M10-5-Electroplated-Din 934</v>
      </c>
      <c r="AI39" s="747" t="s">
        <v>435</v>
      </c>
      <c r="AJ39" s="820" t="s">
        <v>105</v>
      </c>
      <c r="AK39" s="19" t="s">
        <v>484</v>
      </c>
      <c r="AL39" s="17" t="str">
        <f t="shared" si="25"/>
        <v>Pcs</v>
      </c>
      <c r="AM39" s="20">
        <f t="shared" ref="AM39:AM102" si="37">AK39*AC39</f>
        <v>8</v>
      </c>
      <c r="AP39" s="1136" t="s">
        <v>436</v>
      </c>
      <c r="AQ39" s="1136" t="s">
        <v>80</v>
      </c>
      <c r="AR39" s="1136" t="s">
        <v>473</v>
      </c>
      <c r="AS39" s="1136" t="s">
        <v>29</v>
      </c>
      <c r="AT39" s="1162">
        <v>4.9926000000000004</v>
      </c>
      <c r="AV39" s="33"/>
      <c r="BD39" s="1120" t="str">
        <f t="shared" si="21"/>
        <v>01</v>
      </c>
      <c r="BE39" s="1121" t="str">
        <f t="shared" si="22"/>
        <v>08</v>
      </c>
      <c r="BF39" s="1121" t="str">
        <f t="shared" si="23"/>
        <v>413010608</v>
      </c>
      <c r="BG39" s="1122" t="str">
        <f t="shared" si="8"/>
        <v>Front Drum</v>
      </c>
      <c r="BH39" s="1122">
        <f t="shared" si="9"/>
        <v>1</v>
      </c>
      <c r="BI39" s="1123">
        <f t="shared" si="10"/>
        <v>1</v>
      </c>
      <c r="BO39" s="1128" t="str">
        <f t="shared" si="32"/>
        <v>ناودانی آهن 40</v>
      </c>
      <c r="BP39" s="1129" t="str">
        <f t="shared" si="33"/>
        <v>St-37</v>
      </c>
      <c r="BQ39" s="1122" t="str">
        <f t="shared" si="34"/>
        <v>Kg</v>
      </c>
      <c r="BR39" s="1122" t="str">
        <f t="shared" si="35"/>
        <v>000291000040</v>
      </c>
      <c r="BS39" s="1163">
        <f t="shared" si="36"/>
        <v>4.9926000000000004</v>
      </c>
    </row>
    <row r="40" spans="1:71" ht="15.75" thickBot="1" x14ac:dyDescent="0.3">
      <c r="A40" s="1174">
        <v>33</v>
      </c>
      <c r="B40" s="287" t="s">
        <v>113</v>
      </c>
      <c r="C40" s="287" t="s">
        <v>153</v>
      </c>
      <c r="D40" s="288" t="s">
        <v>168</v>
      </c>
      <c r="E40" s="288" t="s">
        <v>18</v>
      </c>
      <c r="F40" s="288" t="s">
        <v>25</v>
      </c>
      <c r="G40" s="287" t="s">
        <v>24</v>
      </c>
      <c r="H40" s="287" t="s">
        <v>10</v>
      </c>
      <c r="I40" s="1132" t="s">
        <v>22</v>
      </c>
      <c r="J40" s="287">
        <f>J39</f>
        <v>8</v>
      </c>
      <c r="K40" s="287" t="s">
        <v>30</v>
      </c>
      <c r="L40" s="291">
        <f t="shared" si="30"/>
        <v>8</v>
      </c>
      <c r="M40" s="291">
        <f t="shared" si="31"/>
        <v>8</v>
      </c>
      <c r="N40" s="292">
        <f t="shared" si="29"/>
        <v>0</v>
      </c>
      <c r="O40" s="641"/>
      <c r="P40" s="391">
        <f t="shared" si="11"/>
        <v>413</v>
      </c>
      <c r="Q40" s="392" t="s">
        <v>34</v>
      </c>
      <c r="R40" s="393" t="str">
        <f t="shared" si="12"/>
        <v>Front Drum</v>
      </c>
      <c r="S40" s="393">
        <v>1</v>
      </c>
      <c r="T40" s="392" t="s">
        <v>39</v>
      </c>
      <c r="U40" s="393" t="str">
        <f t="shared" si="13"/>
        <v>بازو</v>
      </c>
      <c r="V40" s="394">
        <v>1</v>
      </c>
      <c r="W40" s="43" t="s">
        <v>42</v>
      </c>
      <c r="X40" s="395" t="str">
        <f t="shared" si="14"/>
        <v>413010609</v>
      </c>
      <c r="Y40" s="396" t="str">
        <f t="shared" si="15"/>
        <v>واشر فنری اتصال صفحه مثلثی به بازو</v>
      </c>
      <c r="Z40" s="394" t="s">
        <v>353</v>
      </c>
      <c r="AA40" s="394">
        <f t="shared" si="16"/>
        <v>8</v>
      </c>
      <c r="AB40" s="394">
        <f t="shared" si="5"/>
        <v>8</v>
      </c>
      <c r="AC40" s="935">
        <f t="shared" si="6"/>
        <v>8</v>
      </c>
      <c r="AD40" s="10"/>
      <c r="AE40" s="723" t="str">
        <f t="shared" si="17"/>
        <v>413010609</v>
      </c>
      <c r="AF40" s="724" t="str">
        <f t="shared" si="18"/>
        <v>واشر فنری اتصال صفحه مثلثی به بازو</v>
      </c>
      <c r="AG40" s="394" t="str">
        <f t="shared" si="19"/>
        <v>Spring Washer</v>
      </c>
      <c r="AH40" s="394" t="str">
        <f t="shared" si="26"/>
        <v>A10-F-Electroplated-Din 127</v>
      </c>
      <c r="AI40" s="748" t="s">
        <v>101</v>
      </c>
      <c r="AJ40" s="821" t="s">
        <v>106</v>
      </c>
      <c r="AK40" s="876" t="s">
        <v>484</v>
      </c>
      <c r="AL40" s="394" t="str">
        <f t="shared" si="25"/>
        <v>Pcs</v>
      </c>
      <c r="AM40" s="919">
        <f t="shared" si="37"/>
        <v>8</v>
      </c>
      <c r="AN40" s="10"/>
      <c r="AP40" s="1136" t="s">
        <v>421</v>
      </c>
      <c r="AQ40" s="1136" t="s">
        <v>232</v>
      </c>
      <c r="AR40" s="1136" t="s">
        <v>469</v>
      </c>
      <c r="AS40" s="1136" t="s">
        <v>29</v>
      </c>
      <c r="AT40" s="1162">
        <v>0.46629000000000004</v>
      </c>
      <c r="AV40" s="33"/>
      <c r="BD40" s="1120" t="str">
        <f t="shared" si="21"/>
        <v>01</v>
      </c>
      <c r="BE40" s="1121" t="str">
        <f t="shared" si="22"/>
        <v>09</v>
      </c>
      <c r="BF40" s="1121" t="str">
        <f t="shared" si="23"/>
        <v>413010609</v>
      </c>
      <c r="BG40" s="1122" t="str">
        <f t="shared" ref="BG40:BG71" si="38">R40</f>
        <v>Front Drum</v>
      </c>
      <c r="BH40" s="1122">
        <f t="shared" ref="BH40:BH71" si="39">S40</f>
        <v>1</v>
      </c>
      <c r="BI40" s="1123">
        <f t="shared" ref="BI40:BI71" si="40">BH40*BA$5</f>
        <v>1</v>
      </c>
      <c r="BO40" s="1128" t="str">
        <f t="shared" si="32"/>
        <v>نبشی آهن 30*30</v>
      </c>
      <c r="BP40" s="1129" t="str">
        <f t="shared" si="33"/>
        <v>A-36</v>
      </c>
      <c r="BQ40" s="1122" t="str">
        <f t="shared" si="34"/>
        <v>Kg</v>
      </c>
      <c r="BR40" s="1122" t="str">
        <f t="shared" si="35"/>
        <v>000221030303</v>
      </c>
      <c r="BS40" s="1163">
        <f t="shared" si="36"/>
        <v>0.46629000000000004</v>
      </c>
    </row>
    <row r="41" spans="1:71" ht="15" x14ac:dyDescent="0.25">
      <c r="A41" s="1187">
        <v>34</v>
      </c>
      <c r="B41" s="74" t="s">
        <v>113</v>
      </c>
      <c r="C41" s="74" t="s">
        <v>169</v>
      </c>
      <c r="D41" s="73" t="s">
        <v>169</v>
      </c>
      <c r="E41" s="102" t="s">
        <v>170</v>
      </c>
      <c r="F41" s="103" t="s">
        <v>80</v>
      </c>
      <c r="G41" s="74">
        <v>4</v>
      </c>
      <c r="H41" s="74">
        <v>40</v>
      </c>
      <c r="I41" s="74">
        <f>IF(E1=1500,3600,IF(E1=2000,4600,IF(E1=2500,5600,6600)))</f>
        <v>4600</v>
      </c>
      <c r="J41" s="74">
        <v>1</v>
      </c>
      <c r="K41" s="74" t="s">
        <v>29</v>
      </c>
      <c r="L41" s="1186">
        <f>7.85*106*I41*J41/1000000</f>
        <v>3.8276599999999994</v>
      </c>
      <c r="M41" s="1186">
        <f>IF(E1=3000,(((6600-(INT(6600/I41)*I41))/(INT(6600/I41)))+I41)*J41*106*7.85/1000000,(((6000-(INT(6000/I41)*I41))/(INT(6000/I41)))+I41)*J41*106*7.85/1000000)</f>
        <v>4.9926000000000004</v>
      </c>
      <c r="N41" s="76">
        <f t="shared" si="29"/>
        <v>0.30434782608695682</v>
      </c>
      <c r="O41" s="641"/>
      <c r="P41" s="350">
        <f t="shared" si="11"/>
        <v>413</v>
      </c>
      <c r="Q41" s="351" t="s">
        <v>34</v>
      </c>
      <c r="R41" s="352" t="str">
        <f t="shared" si="12"/>
        <v>Front Drum</v>
      </c>
      <c r="S41" s="352">
        <v>1</v>
      </c>
      <c r="T41" s="351" t="s">
        <v>40</v>
      </c>
      <c r="U41" s="352" t="str">
        <f t="shared" si="13"/>
        <v>پولی فلزی روتاری</v>
      </c>
      <c r="V41" s="353">
        <v>1</v>
      </c>
      <c r="W41" s="351" t="s">
        <v>34</v>
      </c>
      <c r="X41" s="354" t="str">
        <f t="shared" si="14"/>
        <v>413010701</v>
      </c>
      <c r="Y41" s="355" t="str">
        <f t="shared" si="15"/>
        <v>پولی فلزی روتاری</v>
      </c>
      <c r="Z41" s="353" t="str">
        <f>"UPN40"&amp;","&amp;"L"&amp;"="&amp;I41</f>
        <v>UPN40,L=4600</v>
      </c>
      <c r="AA41" s="353">
        <f t="shared" si="16"/>
        <v>1</v>
      </c>
      <c r="AB41" s="353">
        <f t="shared" si="5"/>
        <v>1</v>
      </c>
      <c r="AC41" s="930">
        <f t="shared" si="6"/>
        <v>1</v>
      </c>
      <c r="AD41" s="10"/>
      <c r="AE41" s="702" t="str">
        <f t="shared" si="17"/>
        <v>413010701</v>
      </c>
      <c r="AF41" s="703" t="str">
        <f t="shared" si="18"/>
        <v>پولی فلزی روتاری</v>
      </c>
      <c r="AG41" s="353" t="str">
        <f t="shared" si="19"/>
        <v>UPN40</v>
      </c>
      <c r="AH41" s="353" t="str">
        <f>F41</f>
        <v>St-37</v>
      </c>
      <c r="AI41" s="740" t="s">
        <v>436</v>
      </c>
      <c r="AJ41" s="822" t="s">
        <v>473</v>
      </c>
      <c r="AK41" s="704">
        <f>M41/J41</f>
        <v>4.9926000000000004</v>
      </c>
      <c r="AL41" s="353" t="str">
        <f t="shared" si="25"/>
        <v>Kg</v>
      </c>
      <c r="AM41" s="705">
        <f t="shared" si="37"/>
        <v>4.9926000000000004</v>
      </c>
      <c r="AP41" s="1136" t="s">
        <v>448</v>
      </c>
      <c r="AQ41" s="1136" t="s">
        <v>232</v>
      </c>
      <c r="AR41" s="1136" t="s">
        <v>476</v>
      </c>
      <c r="AS41" s="1136" t="s">
        <v>29</v>
      </c>
      <c r="AT41" s="1162">
        <v>281.36754999999999</v>
      </c>
      <c r="AV41" s="33"/>
      <c r="BD41" s="1120" t="str">
        <f t="shared" si="21"/>
        <v>01</v>
      </c>
      <c r="BE41" s="1121" t="str">
        <f t="shared" si="22"/>
        <v>01</v>
      </c>
      <c r="BF41" s="1121" t="str">
        <f t="shared" si="22"/>
        <v>413010701</v>
      </c>
      <c r="BG41" s="1122" t="str">
        <f t="shared" si="38"/>
        <v>Front Drum</v>
      </c>
      <c r="BH41" s="1122">
        <f t="shared" si="39"/>
        <v>1</v>
      </c>
      <c r="BI41" s="1123">
        <f t="shared" si="40"/>
        <v>1</v>
      </c>
      <c r="BO41" s="1128" t="str">
        <f t="shared" si="32"/>
        <v>نبشی آهن 40*40</v>
      </c>
      <c r="BP41" s="1129" t="str">
        <f t="shared" si="33"/>
        <v>A-36</v>
      </c>
      <c r="BQ41" s="1122" t="str">
        <f t="shared" si="34"/>
        <v>Kg</v>
      </c>
      <c r="BR41" s="1122" t="str">
        <f t="shared" si="35"/>
        <v>000221040404</v>
      </c>
      <c r="BS41" s="1163">
        <f t="shared" si="36"/>
        <v>281.36754999999999</v>
      </c>
    </row>
    <row r="42" spans="1:71" ht="15" x14ac:dyDescent="0.25">
      <c r="A42" s="1171">
        <v>35</v>
      </c>
      <c r="B42" s="77" t="s">
        <v>113</v>
      </c>
      <c r="C42" s="77" t="s">
        <v>169</v>
      </c>
      <c r="D42" s="78" t="s">
        <v>171</v>
      </c>
      <c r="E42" s="104" t="s">
        <v>3</v>
      </c>
      <c r="F42" s="105" t="s">
        <v>80</v>
      </c>
      <c r="G42" s="77">
        <v>4</v>
      </c>
      <c r="H42" s="77">
        <v>40</v>
      </c>
      <c r="I42" s="1176">
        <v>88</v>
      </c>
      <c r="J42" s="77">
        <f>J32</f>
        <v>4</v>
      </c>
      <c r="K42" s="77" t="s">
        <v>29</v>
      </c>
      <c r="L42" s="79">
        <f>G42*H42*I42*7.85*J42/1000000</f>
        <v>0.442112</v>
      </c>
      <c r="M42" s="79">
        <f>((((1250-(INT(1250/H42)*H42))/(INT(1250/H42)))+H42)*G42*I42*J42*7.85)/1000000</f>
        <v>0.44567741935483868</v>
      </c>
      <c r="N42" s="80">
        <f t="shared" si="29"/>
        <v>8.0645161290321746E-3</v>
      </c>
      <c r="O42" s="641"/>
      <c r="P42" s="356">
        <f t="shared" si="11"/>
        <v>413</v>
      </c>
      <c r="Q42" s="357" t="s">
        <v>34</v>
      </c>
      <c r="R42" s="358" t="str">
        <f t="shared" si="12"/>
        <v>Front Drum</v>
      </c>
      <c r="S42" s="358">
        <v>1</v>
      </c>
      <c r="T42" s="357" t="s">
        <v>40</v>
      </c>
      <c r="U42" s="358" t="str">
        <f t="shared" si="13"/>
        <v>پولی فلزی روتاری</v>
      </c>
      <c r="V42" s="359">
        <v>1</v>
      </c>
      <c r="W42" s="357" t="s">
        <v>35</v>
      </c>
      <c r="X42" s="360" t="str">
        <f t="shared" si="14"/>
        <v>413010702</v>
      </c>
      <c r="Y42" s="361" t="str">
        <f t="shared" si="15"/>
        <v>نگهدارنده پولی فلزی</v>
      </c>
      <c r="Z42" s="359" t="s">
        <v>354</v>
      </c>
      <c r="AA42" s="359">
        <f t="shared" si="16"/>
        <v>4</v>
      </c>
      <c r="AB42" s="359">
        <f t="shared" si="5"/>
        <v>4</v>
      </c>
      <c r="AC42" s="931">
        <f t="shared" si="6"/>
        <v>4</v>
      </c>
      <c r="AD42" s="10"/>
      <c r="AE42" s="706" t="str">
        <f t="shared" si="17"/>
        <v>413010702</v>
      </c>
      <c r="AF42" s="707" t="str">
        <f t="shared" si="18"/>
        <v>نگهدارنده پولی فلزی</v>
      </c>
      <c r="AG42" s="359" t="str">
        <f t="shared" si="19"/>
        <v>Plate</v>
      </c>
      <c r="AH42" s="359" t="str">
        <f>F42</f>
        <v>St-37</v>
      </c>
      <c r="AI42" s="741" t="s">
        <v>413</v>
      </c>
      <c r="AJ42" s="818" t="s">
        <v>464</v>
      </c>
      <c r="AK42" s="708">
        <f>M42/J42</f>
        <v>0.11141935483870967</v>
      </c>
      <c r="AL42" s="359" t="str">
        <f t="shared" si="25"/>
        <v>Kg</v>
      </c>
      <c r="AM42" s="709">
        <f t="shared" si="37"/>
        <v>0.44567741935483868</v>
      </c>
      <c r="AN42" s="10"/>
      <c r="AP42" s="1136" t="s">
        <v>462</v>
      </c>
      <c r="AQ42" s="1136" t="s">
        <v>514</v>
      </c>
      <c r="AR42" s="1136" t="s">
        <v>411</v>
      </c>
      <c r="AS42" s="1136" t="s">
        <v>30</v>
      </c>
      <c r="AT42" s="1162">
        <v>4</v>
      </c>
      <c r="AV42" s="33"/>
      <c r="BD42" s="1120" t="str">
        <f t="shared" si="21"/>
        <v>01</v>
      </c>
      <c r="BE42" s="1121" t="str">
        <f t="shared" si="22"/>
        <v>02</v>
      </c>
      <c r="BF42" s="1121" t="str">
        <f t="shared" si="22"/>
        <v>413010702</v>
      </c>
      <c r="BG42" s="1122" t="str">
        <f t="shared" si="38"/>
        <v>Front Drum</v>
      </c>
      <c r="BH42" s="1122">
        <f t="shared" si="39"/>
        <v>1</v>
      </c>
      <c r="BI42" s="1123">
        <f t="shared" si="40"/>
        <v>1</v>
      </c>
      <c r="BO42" s="1128" t="str">
        <f t="shared" si="32"/>
        <v>واشر تخت 20*8</v>
      </c>
      <c r="BP42" s="1129" t="str">
        <f t="shared" si="33"/>
        <v>A8x20-S-Electroplated-Din126</v>
      </c>
      <c r="BQ42" s="1122" t="str">
        <f t="shared" si="34"/>
        <v>Pcs</v>
      </c>
      <c r="BR42" s="1122" t="str">
        <f t="shared" si="35"/>
        <v>000012100820</v>
      </c>
      <c r="BS42" s="1163">
        <f t="shared" si="36"/>
        <v>4</v>
      </c>
    </row>
    <row r="43" spans="1:71" ht="15" x14ac:dyDescent="0.25">
      <c r="A43" s="1171">
        <v>36</v>
      </c>
      <c r="B43" s="77" t="s">
        <v>113</v>
      </c>
      <c r="C43" s="77" t="s">
        <v>169</v>
      </c>
      <c r="D43" s="78" t="s">
        <v>172</v>
      </c>
      <c r="E43" s="104" t="s">
        <v>8</v>
      </c>
      <c r="F43" s="78" t="s">
        <v>23</v>
      </c>
      <c r="G43" s="77">
        <v>5.6</v>
      </c>
      <c r="H43" s="77" t="s">
        <v>10</v>
      </c>
      <c r="I43" s="77" t="s">
        <v>20</v>
      </c>
      <c r="J43" s="77">
        <f>J42</f>
        <v>4</v>
      </c>
      <c r="K43" s="77" t="s">
        <v>30</v>
      </c>
      <c r="L43" s="77">
        <f>J43</f>
        <v>4</v>
      </c>
      <c r="M43" s="77">
        <f>L43</f>
        <v>4</v>
      </c>
      <c r="N43" s="80">
        <f t="shared" si="29"/>
        <v>0</v>
      </c>
      <c r="O43" s="641"/>
      <c r="P43" s="356">
        <f t="shared" si="11"/>
        <v>413</v>
      </c>
      <c r="Q43" s="357" t="s">
        <v>34</v>
      </c>
      <c r="R43" s="358" t="str">
        <f t="shared" si="12"/>
        <v>Front Drum</v>
      </c>
      <c r="S43" s="358">
        <v>1</v>
      </c>
      <c r="T43" s="357" t="s">
        <v>40</v>
      </c>
      <c r="U43" s="358" t="str">
        <f t="shared" si="13"/>
        <v>پولی فلزی روتاری</v>
      </c>
      <c r="V43" s="359">
        <v>1</v>
      </c>
      <c r="W43" s="357" t="s">
        <v>36</v>
      </c>
      <c r="X43" s="360" t="str">
        <f t="shared" si="14"/>
        <v>413010703</v>
      </c>
      <c r="Y43" s="361" t="str">
        <f t="shared" si="15"/>
        <v>پیچ اتصال پولی به بازو</v>
      </c>
      <c r="Z43" s="359" t="s">
        <v>352</v>
      </c>
      <c r="AA43" s="359">
        <f t="shared" si="16"/>
        <v>4</v>
      </c>
      <c r="AB43" s="359">
        <f t="shared" si="5"/>
        <v>4</v>
      </c>
      <c r="AC43" s="931">
        <f t="shared" si="6"/>
        <v>4</v>
      </c>
      <c r="AD43" s="10"/>
      <c r="AE43" s="706" t="str">
        <f t="shared" si="17"/>
        <v>413010703</v>
      </c>
      <c r="AF43" s="707" t="str">
        <f t="shared" si="18"/>
        <v>پیچ اتصال پولی به بازو</v>
      </c>
      <c r="AG43" s="359" t="str">
        <f t="shared" si="19"/>
        <v>Hex Bolt</v>
      </c>
      <c r="AH43" s="359" t="str">
        <f t="shared" si="26"/>
        <v>M10x30-5.6-Electroplated-Din 933</v>
      </c>
      <c r="AI43" s="741" t="s">
        <v>434</v>
      </c>
      <c r="AJ43" s="818" t="s">
        <v>108</v>
      </c>
      <c r="AK43" s="708" t="s">
        <v>484</v>
      </c>
      <c r="AL43" s="359" t="str">
        <f t="shared" si="25"/>
        <v>Pcs</v>
      </c>
      <c r="AM43" s="709">
        <f t="shared" si="37"/>
        <v>4</v>
      </c>
      <c r="AP43" s="1136" t="s">
        <v>102</v>
      </c>
      <c r="AQ43" s="1136" t="s">
        <v>515</v>
      </c>
      <c r="AR43" s="1136" t="s">
        <v>106</v>
      </c>
      <c r="AS43" s="1136" t="s">
        <v>30</v>
      </c>
      <c r="AT43" s="1162">
        <v>3</v>
      </c>
      <c r="AV43" s="33"/>
      <c r="BD43" s="1120" t="str">
        <f t="shared" si="21"/>
        <v>01</v>
      </c>
      <c r="BE43" s="1121" t="str">
        <f t="shared" si="22"/>
        <v>03</v>
      </c>
      <c r="BF43" s="1121" t="str">
        <f t="shared" si="22"/>
        <v>413010703</v>
      </c>
      <c r="BG43" s="1122" t="str">
        <f t="shared" si="38"/>
        <v>Front Drum</v>
      </c>
      <c r="BH43" s="1122">
        <f t="shared" si="39"/>
        <v>1</v>
      </c>
      <c r="BI43" s="1123">
        <f t="shared" si="40"/>
        <v>1</v>
      </c>
      <c r="BO43" s="1128" t="str">
        <f t="shared" si="32"/>
        <v>واشر تخت 30*10</v>
      </c>
      <c r="BP43" s="1129" t="str">
        <f t="shared" si="33"/>
        <v>A12-S-Electroplated-Din 126</v>
      </c>
      <c r="BQ43" s="1122" t="str">
        <f t="shared" si="34"/>
        <v>Pcs</v>
      </c>
      <c r="BR43" s="1122" t="str">
        <f t="shared" si="35"/>
        <v>000012111010</v>
      </c>
      <c r="BS43" s="1163">
        <f t="shared" si="36"/>
        <v>3</v>
      </c>
    </row>
    <row r="44" spans="1:71" ht="15" x14ac:dyDescent="0.25">
      <c r="A44" s="1171">
        <v>37</v>
      </c>
      <c r="B44" s="77" t="s">
        <v>113</v>
      </c>
      <c r="C44" s="77" t="s">
        <v>169</v>
      </c>
      <c r="D44" s="78" t="s">
        <v>173</v>
      </c>
      <c r="E44" s="104" t="s">
        <v>9</v>
      </c>
      <c r="F44" s="78" t="s">
        <v>17</v>
      </c>
      <c r="G44" s="77">
        <v>5</v>
      </c>
      <c r="H44" s="77" t="s">
        <v>10</v>
      </c>
      <c r="I44" s="77" t="s">
        <v>21</v>
      </c>
      <c r="J44" s="77">
        <f>J43</f>
        <v>4</v>
      </c>
      <c r="K44" s="77" t="s">
        <v>30</v>
      </c>
      <c r="L44" s="77">
        <f>J44</f>
        <v>4</v>
      </c>
      <c r="M44" s="77">
        <f>L44</f>
        <v>4</v>
      </c>
      <c r="N44" s="80">
        <f t="shared" ref="N44" si="41">(M44-L44)/L44</f>
        <v>0</v>
      </c>
      <c r="O44" s="641"/>
      <c r="P44" s="356">
        <f t="shared" si="11"/>
        <v>413</v>
      </c>
      <c r="Q44" s="357" t="s">
        <v>34</v>
      </c>
      <c r="R44" s="358" t="str">
        <f t="shared" si="12"/>
        <v>Front Drum</v>
      </c>
      <c r="S44" s="358">
        <v>1</v>
      </c>
      <c r="T44" s="357" t="s">
        <v>40</v>
      </c>
      <c r="U44" s="358" t="str">
        <f t="shared" si="13"/>
        <v>پولی فلزی روتاری</v>
      </c>
      <c r="V44" s="359">
        <v>1</v>
      </c>
      <c r="W44" s="357" t="s">
        <v>37</v>
      </c>
      <c r="X44" s="360" t="str">
        <f t="shared" si="14"/>
        <v>413010704</v>
      </c>
      <c r="Y44" s="361" t="str">
        <f t="shared" si="15"/>
        <v>مهره اتصال پولی به بازو</v>
      </c>
      <c r="Z44" s="359" t="s">
        <v>17</v>
      </c>
      <c r="AA44" s="359">
        <f t="shared" si="16"/>
        <v>4</v>
      </c>
      <c r="AB44" s="359">
        <f t="shared" si="5"/>
        <v>4</v>
      </c>
      <c r="AC44" s="931">
        <f t="shared" si="6"/>
        <v>4</v>
      </c>
      <c r="AD44" s="10"/>
      <c r="AE44" s="706" t="str">
        <f t="shared" si="17"/>
        <v>413010704</v>
      </c>
      <c r="AF44" s="707" t="str">
        <f t="shared" si="18"/>
        <v>مهره اتصال پولی به بازو</v>
      </c>
      <c r="AG44" s="359" t="str">
        <f t="shared" si="19"/>
        <v>Hex Nut</v>
      </c>
      <c r="AH44" s="359" t="str">
        <f t="shared" si="26"/>
        <v>M10-5-Electroplated-Din 934</v>
      </c>
      <c r="AI44" s="741" t="s">
        <v>435</v>
      </c>
      <c r="AJ44" s="818" t="s">
        <v>105</v>
      </c>
      <c r="AK44" s="708" t="s">
        <v>484</v>
      </c>
      <c r="AL44" s="359" t="str">
        <f t="shared" si="25"/>
        <v>Pcs</v>
      </c>
      <c r="AM44" s="709">
        <f t="shared" si="37"/>
        <v>4</v>
      </c>
      <c r="AP44" s="1136" t="s">
        <v>451</v>
      </c>
      <c r="AQ44" s="1136" t="s">
        <v>516</v>
      </c>
      <c r="AR44" s="1136" t="s">
        <v>400</v>
      </c>
      <c r="AS44" s="1136" t="s">
        <v>30</v>
      </c>
      <c r="AT44" s="1162">
        <v>4</v>
      </c>
      <c r="AV44" s="33"/>
      <c r="BD44" s="1120" t="str">
        <f t="shared" si="21"/>
        <v>01</v>
      </c>
      <c r="BE44" s="1121" t="str">
        <f t="shared" si="22"/>
        <v>04</v>
      </c>
      <c r="BF44" s="1121" t="str">
        <f t="shared" si="22"/>
        <v>413010704</v>
      </c>
      <c r="BG44" s="1122" t="str">
        <f t="shared" si="38"/>
        <v>Front Drum</v>
      </c>
      <c r="BH44" s="1122">
        <f t="shared" si="39"/>
        <v>1</v>
      </c>
      <c r="BI44" s="1123">
        <f t="shared" si="40"/>
        <v>1</v>
      </c>
      <c r="BO44" s="1128" t="str">
        <f t="shared" si="32"/>
        <v>واشر تخت 30*14</v>
      </c>
      <c r="BP44" s="1129" t="str">
        <f t="shared" si="33"/>
        <v>A14x30-S-Electroplated-Din 126</v>
      </c>
      <c r="BQ44" s="1122" t="str">
        <f t="shared" si="34"/>
        <v>Pcs</v>
      </c>
      <c r="BR44" s="1122" t="str">
        <f t="shared" si="35"/>
        <v>000012101430</v>
      </c>
      <c r="BS44" s="1163">
        <f t="shared" si="36"/>
        <v>4</v>
      </c>
    </row>
    <row r="45" spans="1:71" ht="15.75" thickBot="1" x14ac:dyDescent="0.3">
      <c r="A45" s="1172">
        <v>38</v>
      </c>
      <c r="B45" s="82" t="s">
        <v>113</v>
      </c>
      <c r="C45" s="82" t="s">
        <v>169</v>
      </c>
      <c r="D45" s="83" t="s">
        <v>174</v>
      </c>
      <c r="E45" s="255" t="s">
        <v>18</v>
      </c>
      <c r="F45" s="83" t="s">
        <v>25</v>
      </c>
      <c r="G45" s="82" t="s">
        <v>24</v>
      </c>
      <c r="H45" s="82" t="s">
        <v>10</v>
      </c>
      <c r="I45" s="82" t="s">
        <v>22</v>
      </c>
      <c r="J45" s="82">
        <f>J44</f>
        <v>4</v>
      </c>
      <c r="K45" s="82" t="s">
        <v>30</v>
      </c>
      <c r="L45" s="82">
        <f>J45</f>
        <v>4</v>
      </c>
      <c r="M45" s="82">
        <f>L45</f>
        <v>4</v>
      </c>
      <c r="N45" s="85">
        <f t="shared" ref="N45:N46" si="42">(M45-L45)/L45</f>
        <v>0</v>
      </c>
      <c r="O45" s="641"/>
      <c r="P45" s="364">
        <f t="shared" si="11"/>
        <v>413</v>
      </c>
      <c r="Q45" s="365" t="s">
        <v>34</v>
      </c>
      <c r="R45" s="366" t="str">
        <f t="shared" si="12"/>
        <v>Front Drum</v>
      </c>
      <c r="S45" s="366">
        <v>1</v>
      </c>
      <c r="T45" s="365" t="s">
        <v>40</v>
      </c>
      <c r="U45" s="366" t="str">
        <f t="shared" si="13"/>
        <v>پولی فلزی روتاری</v>
      </c>
      <c r="V45" s="367">
        <v>1</v>
      </c>
      <c r="W45" s="357" t="s">
        <v>38</v>
      </c>
      <c r="X45" s="368" t="str">
        <f t="shared" si="14"/>
        <v>413010705</v>
      </c>
      <c r="Y45" s="369" t="str">
        <f t="shared" si="15"/>
        <v>واشر فنری اتصال پولی به بازو</v>
      </c>
      <c r="Z45" s="367" t="s">
        <v>353</v>
      </c>
      <c r="AA45" s="367">
        <f t="shared" si="16"/>
        <v>4</v>
      </c>
      <c r="AB45" s="367">
        <f t="shared" si="5"/>
        <v>4</v>
      </c>
      <c r="AC45" s="932">
        <f t="shared" si="6"/>
        <v>4</v>
      </c>
      <c r="AD45" s="10"/>
      <c r="AE45" s="713" t="str">
        <f t="shared" si="17"/>
        <v>413010705</v>
      </c>
      <c r="AF45" s="714" t="str">
        <f t="shared" si="18"/>
        <v>واشر فنری اتصال پولی به بازو</v>
      </c>
      <c r="AG45" s="367" t="str">
        <f t="shared" si="19"/>
        <v>Spring Washer</v>
      </c>
      <c r="AH45" s="367" t="str">
        <f t="shared" si="26"/>
        <v>A10-F-Electroplated-Din 127</v>
      </c>
      <c r="AI45" s="749" t="s">
        <v>101</v>
      </c>
      <c r="AJ45" s="823" t="s">
        <v>106</v>
      </c>
      <c r="AK45" s="738" t="s">
        <v>484</v>
      </c>
      <c r="AL45" s="367" t="str">
        <f t="shared" si="25"/>
        <v>Pcs</v>
      </c>
      <c r="AM45" s="739">
        <f t="shared" si="37"/>
        <v>4</v>
      </c>
      <c r="AP45" s="1136" t="s">
        <v>103</v>
      </c>
      <c r="AQ45" s="1136" t="s">
        <v>517</v>
      </c>
      <c r="AR45" s="1136" t="s">
        <v>111</v>
      </c>
      <c r="AS45" s="1136" t="s">
        <v>30</v>
      </c>
      <c r="AT45" s="1162">
        <v>5</v>
      </c>
      <c r="AV45" s="33"/>
      <c r="BD45" s="1120" t="str">
        <f t="shared" si="21"/>
        <v>01</v>
      </c>
      <c r="BE45" s="1121" t="str">
        <f t="shared" si="22"/>
        <v>05</v>
      </c>
      <c r="BF45" s="1121" t="str">
        <f t="shared" si="22"/>
        <v>413010705</v>
      </c>
      <c r="BG45" s="1122" t="str">
        <f t="shared" si="38"/>
        <v>Front Drum</v>
      </c>
      <c r="BH45" s="1122">
        <f t="shared" si="39"/>
        <v>1</v>
      </c>
      <c r="BI45" s="1123">
        <f t="shared" si="40"/>
        <v>1</v>
      </c>
      <c r="BO45" s="1128" t="str">
        <f t="shared" si="32"/>
        <v>واشر تخت 30*8</v>
      </c>
      <c r="BP45" s="1129" t="str">
        <f t="shared" si="33"/>
        <v>A8x30-S-Electroplated-Din 126</v>
      </c>
      <c r="BQ45" s="1122" t="str">
        <f t="shared" si="34"/>
        <v>Pcs</v>
      </c>
      <c r="BR45" s="1122" t="str">
        <f t="shared" si="35"/>
        <v>000012100830</v>
      </c>
      <c r="BS45" s="1163">
        <f t="shared" si="36"/>
        <v>5</v>
      </c>
    </row>
    <row r="46" spans="1:71" ht="15.75" thickBot="1" x14ac:dyDescent="0.3">
      <c r="A46" s="1177">
        <v>39</v>
      </c>
      <c r="B46" s="251" t="s">
        <v>113</v>
      </c>
      <c r="C46" s="251" t="s">
        <v>169</v>
      </c>
      <c r="D46" s="252" t="s">
        <v>230</v>
      </c>
      <c r="E46" s="253" t="s">
        <v>128</v>
      </c>
      <c r="F46" s="252" t="s">
        <v>2</v>
      </c>
      <c r="G46" s="251">
        <v>3</v>
      </c>
      <c r="H46" s="251">
        <v>150</v>
      </c>
      <c r="I46" s="251">
        <f>IF(E1=1500,5500,IF(E1=2000,7000,IF(E1=2500,8500,10000)))</f>
        <v>7000</v>
      </c>
      <c r="J46" s="251">
        <v>1</v>
      </c>
      <c r="K46" s="251" t="s">
        <v>6</v>
      </c>
      <c r="L46" s="251">
        <f>J46*I46</f>
        <v>7000</v>
      </c>
      <c r="M46" s="251">
        <f>J46*I46</f>
        <v>7000</v>
      </c>
      <c r="N46" s="254">
        <f t="shared" si="42"/>
        <v>0</v>
      </c>
      <c r="O46" s="641"/>
      <c r="P46" s="398">
        <f t="shared" si="11"/>
        <v>413</v>
      </c>
      <c r="Q46" s="42" t="s">
        <v>34</v>
      </c>
      <c r="R46" s="399" t="str">
        <f t="shared" si="12"/>
        <v>Front Drum</v>
      </c>
      <c r="S46" s="399">
        <v>1</v>
      </c>
      <c r="T46" s="42" t="s">
        <v>41</v>
      </c>
      <c r="U46" s="399" t="str">
        <f t="shared" si="13"/>
        <v>پولی فلزی روتاری</v>
      </c>
      <c r="V46" s="400">
        <v>1</v>
      </c>
      <c r="W46" s="42" t="s">
        <v>34</v>
      </c>
      <c r="X46" s="327" t="str">
        <f t="shared" si="14"/>
        <v>413010801</v>
      </c>
      <c r="Y46" s="401" t="str">
        <f t="shared" si="15"/>
        <v>لاستیک هوابند</v>
      </c>
      <c r="Z46" s="400" t="str">
        <f>"3"&amp;"x"&amp;"150"&amp;"x"&amp;I46</f>
        <v>3x150x7000</v>
      </c>
      <c r="AA46" s="400">
        <f t="shared" si="16"/>
        <v>1</v>
      </c>
      <c r="AB46" s="400">
        <f t="shared" si="5"/>
        <v>1</v>
      </c>
      <c r="AC46" s="937">
        <f t="shared" si="6"/>
        <v>1</v>
      </c>
      <c r="AD46" s="10"/>
      <c r="AE46" s="733" t="str">
        <f t="shared" si="17"/>
        <v>413010801</v>
      </c>
      <c r="AF46" s="734" t="str">
        <f t="shared" si="18"/>
        <v>لاستیک هوابند</v>
      </c>
      <c r="AG46" s="400" t="str">
        <f t="shared" si="19"/>
        <v>Flat Bar</v>
      </c>
      <c r="AH46" s="400" t="str">
        <f>F46</f>
        <v>-</v>
      </c>
      <c r="AI46" s="750" t="s">
        <v>437</v>
      </c>
      <c r="AJ46" s="824" t="s">
        <v>474</v>
      </c>
      <c r="AK46" s="877">
        <f>M46/J46</f>
        <v>7000</v>
      </c>
      <c r="AL46" s="400" t="str">
        <f t="shared" si="25"/>
        <v>mm</v>
      </c>
      <c r="AM46" s="1028">
        <f t="shared" si="37"/>
        <v>7000</v>
      </c>
      <c r="AP46" s="1136" t="s">
        <v>443</v>
      </c>
      <c r="AQ46" s="1136" t="s">
        <v>524</v>
      </c>
      <c r="AR46" s="1136" t="s">
        <v>397</v>
      </c>
      <c r="AS46" s="1136" t="s">
        <v>30</v>
      </c>
      <c r="AT46" s="1162">
        <v>4</v>
      </c>
      <c r="AV46" s="33"/>
      <c r="BD46" s="1120" t="str">
        <f t="shared" si="21"/>
        <v>01</v>
      </c>
      <c r="BE46" s="1121" t="str">
        <f t="shared" si="22"/>
        <v>01</v>
      </c>
      <c r="BF46" s="1121" t="str">
        <f t="shared" si="22"/>
        <v>413010801</v>
      </c>
      <c r="BG46" s="1122" t="str">
        <f t="shared" si="38"/>
        <v>Front Drum</v>
      </c>
      <c r="BH46" s="1122">
        <f t="shared" si="39"/>
        <v>1</v>
      </c>
      <c r="BI46" s="1123">
        <f t="shared" si="40"/>
        <v>1</v>
      </c>
      <c r="BO46" s="1128" t="str">
        <f t="shared" si="32"/>
        <v>واشر تخت 35*18</v>
      </c>
      <c r="BP46" s="1129" t="str">
        <f t="shared" si="33"/>
        <v>A18x35-S-Electroplated-Din 126</v>
      </c>
      <c r="BQ46" s="1122" t="str">
        <f t="shared" si="34"/>
        <v>Pcs</v>
      </c>
      <c r="BR46" s="1122" t="str">
        <f t="shared" si="35"/>
        <v>000012101830</v>
      </c>
      <c r="BS46" s="1163">
        <f t="shared" si="36"/>
        <v>4</v>
      </c>
    </row>
    <row r="47" spans="1:71" ht="15" x14ac:dyDescent="0.25">
      <c r="A47" s="269">
        <v>40</v>
      </c>
      <c r="B47" s="74" t="s">
        <v>113</v>
      </c>
      <c r="C47" s="74" t="s">
        <v>316</v>
      </c>
      <c r="D47" s="73" t="s">
        <v>316</v>
      </c>
      <c r="E47" s="102" t="s">
        <v>3</v>
      </c>
      <c r="F47" s="74" t="s">
        <v>80</v>
      </c>
      <c r="G47" s="74">
        <v>4</v>
      </c>
      <c r="H47" s="74">
        <v>75</v>
      </c>
      <c r="I47" s="74">
        <f>IF(E1=2500,1415,IF(E1=3000,1165,0))</f>
        <v>0</v>
      </c>
      <c r="J47" s="74">
        <f>IF(E1=1500,0,IF(E1=2000,0,J45))</f>
        <v>0</v>
      </c>
      <c r="K47" s="74" t="s">
        <v>29</v>
      </c>
      <c r="L47" s="75">
        <f>G47*H47*I47*J47*7.85/1000000</f>
        <v>0</v>
      </c>
      <c r="M47" s="74">
        <f>((((1250-(INT(1250/H47)*H47))/(INT(1250/H47)))+H47)*G47*I47*J47*7.85)/1000000</f>
        <v>0</v>
      </c>
      <c r="N47" s="76">
        <f>IF(E1=1500,0,IF(E1=2000,0,(M47-L47)/L47))</f>
        <v>0</v>
      </c>
      <c r="O47" s="641"/>
      <c r="P47" s="350">
        <f t="shared" si="11"/>
        <v>413</v>
      </c>
      <c r="Q47" s="351" t="s">
        <v>34</v>
      </c>
      <c r="R47" s="352" t="str">
        <f t="shared" si="12"/>
        <v>Front Drum</v>
      </c>
      <c r="S47" s="352">
        <v>1</v>
      </c>
      <c r="T47" s="351" t="s">
        <v>42</v>
      </c>
      <c r="U47" s="352" t="str">
        <f t="shared" si="13"/>
        <v>نبشی تقویتی میانی</v>
      </c>
      <c r="V47" s="353">
        <v>1</v>
      </c>
      <c r="W47" s="351" t="s">
        <v>34</v>
      </c>
      <c r="X47" s="354" t="str">
        <f t="shared" si="14"/>
        <v>413010901</v>
      </c>
      <c r="Y47" s="355" t="str">
        <f t="shared" si="15"/>
        <v>نبشی تقویتی میانی</v>
      </c>
      <c r="Z47" s="677" t="str">
        <f>G47&amp;"x"&amp;H47&amp;"x"&amp;I47</f>
        <v>4x75x0</v>
      </c>
      <c r="AA47" s="353">
        <f t="shared" si="16"/>
        <v>0</v>
      </c>
      <c r="AB47" s="353">
        <f t="shared" si="5"/>
        <v>0</v>
      </c>
      <c r="AC47" s="930">
        <f t="shared" si="6"/>
        <v>0</v>
      </c>
      <c r="AD47" s="10"/>
      <c r="AE47" s="702" t="str">
        <f t="shared" si="17"/>
        <v>413010901</v>
      </c>
      <c r="AF47" s="703" t="str">
        <f t="shared" si="18"/>
        <v>نبشی تقویتی میانی</v>
      </c>
      <c r="AG47" s="353" t="str">
        <f t="shared" si="19"/>
        <v>Plate</v>
      </c>
      <c r="AH47" s="353" t="str">
        <f>F47</f>
        <v>St-37</v>
      </c>
      <c r="AI47" s="740" t="s">
        <v>413</v>
      </c>
      <c r="AJ47" s="822" t="s">
        <v>464</v>
      </c>
      <c r="AK47" s="704">
        <f>IF(J47=0,0,M47/J47)</f>
        <v>0</v>
      </c>
      <c r="AL47" s="353" t="str">
        <f t="shared" si="25"/>
        <v>Kg</v>
      </c>
      <c r="AM47" s="705">
        <f t="shared" si="37"/>
        <v>0</v>
      </c>
      <c r="AP47" s="1136" t="s">
        <v>101</v>
      </c>
      <c r="AQ47" s="1136" t="s">
        <v>518</v>
      </c>
      <c r="AR47" s="1136" t="s">
        <v>106</v>
      </c>
      <c r="AS47" s="1136" t="s">
        <v>30</v>
      </c>
      <c r="AT47" s="1162">
        <v>68</v>
      </c>
      <c r="AV47" s="33"/>
      <c r="BD47" s="1120" t="str">
        <f t="shared" si="21"/>
        <v>01</v>
      </c>
      <c r="BE47" s="1121" t="str">
        <f t="shared" si="22"/>
        <v>01</v>
      </c>
      <c r="BF47" s="1121" t="str">
        <f t="shared" si="22"/>
        <v>413010901</v>
      </c>
      <c r="BG47" s="1122" t="str">
        <f t="shared" si="38"/>
        <v>Front Drum</v>
      </c>
      <c r="BH47" s="1122">
        <f t="shared" si="39"/>
        <v>1</v>
      </c>
      <c r="BI47" s="1123">
        <f t="shared" si="40"/>
        <v>1</v>
      </c>
      <c r="BO47" s="1128" t="str">
        <f t="shared" si="32"/>
        <v>واشر فنری 10</v>
      </c>
      <c r="BP47" s="1129" t="str">
        <f t="shared" si="33"/>
        <v>A10-F-Electroplated-Din 127</v>
      </c>
      <c r="BQ47" s="1122" t="str">
        <f t="shared" si="34"/>
        <v>Pcs</v>
      </c>
      <c r="BR47" s="1122" t="str">
        <f t="shared" si="35"/>
        <v>000012111010</v>
      </c>
      <c r="BS47" s="1163">
        <f t="shared" si="36"/>
        <v>68</v>
      </c>
    </row>
    <row r="48" spans="1:71" ht="15" x14ac:dyDescent="0.25">
      <c r="A48" s="270">
        <v>41</v>
      </c>
      <c r="B48" s="77" t="s">
        <v>113</v>
      </c>
      <c r="C48" s="77" t="s">
        <v>316</v>
      </c>
      <c r="D48" s="78" t="s">
        <v>317</v>
      </c>
      <c r="E48" s="104" t="s">
        <v>3</v>
      </c>
      <c r="F48" s="77" t="s">
        <v>80</v>
      </c>
      <c r="G48" s="77">
        <v>10</v>
      </c>
      <c r="H48" s="77">
        <v>350</v>
      </c>
      <c r="I48" s="77">
        <v>350</v>
      </c>
      <c r="J48" s="77">
        <f>IF(E1=1500,0,IF(E1=2000,0,1))</f>
        <v>0</v>
      </c>
      <c r="K48" s="77" t="s">
        <v>29</v>
      </c>
      <c r="L48" s="79">
        <f>G48*H48*I48*J48*7.85/1000000</f>
        <v>0</v>
      </c>
      <c r="M48" s="77">
        <f>((((1500-(INT(1500/H48)*H48))/(INT(1500/H48)))+H48)*G48*I48*J48*7.85)/1000000</f>
        <v>0</v>
      </c>
      <c r="N48" s="80">
        <f>IF($E$1=1500,0,IF($E$1=2000,0,(M48-L48)/L48))</f>
        <v>0</v>
      </c>
      <c r="O48" s="641"/>
      <c r="P48" s="356">
        <f t="shared" si="11"/>
        <v>413</v>
      </c>
      <c r="Q48" s="357" t="s">
        <v>34</v>
      </c>
      <c r="R48" s="358" t="str">
        <f t="shared" si="12"/>
        <v>Front Drum</v>
      </c>
      <c r="S48" s="358">
        <v>1</v>
      </c>
      <c r="T48" s="357" t="s">
        <v>42</v>
      </c>
      <c r="U48" s="358" t="str">
        <f t="shared" si="13"/>
        <v>نبشی تقویتی میانی</v>
      </c>
      <c r="V48" s="359">
        <v>1</v>
      </c>
      <c r="W48" s="357" t="s">
        <v>35</v>
      </c>
      <c r="X48" s="360" t="str">
        <f t="shared" si="14"/>
        <v>413010902</v>
      </c>
      <c r="Y48" s="361" t="str">
        <f t="shared" si="15"/>
        <v>صفحه اتصال نبشی تقویتی</v>
      </c>
      <c r="Z48" s="359" t="str">
        <f>G48&amp;"x"&amp;H48&amp;"x"&amp;I48</f>
        <v>10x350x350</v>
      </c>
      <c r="AA48" s="359">
        <f t="shared" si="16"/>
        <v>0</v>
      </c>
      <c r="AB48" s="359">
        <f t="shared" si="5"/>
        <v>0</v>
      </c>
      <c r="AC48" s="931">
        <f t="shared" si="6"/>
        <v>0</v>
      </c>
      <c r="AD48" s="10"/>
      <c r="AE48" s="706" t="str">
        <f t="shared" si="17"/>
        <v>413010902</v>
      </c>
      <c r="AF48" s="707" t="str">
        <f t="shared" si="18"/>
        <v>صفحه اتصال نبشی تقویتی</v>
      </c>
      <c r="AG48" s="359" t="str">
        <f t="shared" si="19"/>
        <v>Plate</v>
      </c>
      <c r="AH48" s="359" t="str">
        <f>F48</f>
        <v>St-37</v>
      </c>
      <c r="AI48" s="741" t="s">
        <v>427</v>
      </c>
      <c r="AJ48" s="818" t="s">
        <v>471</v>
      </c>
      <c r="AK48" s="708">
        <f>IF(J48=0,0,M48/J48)</f>
        <v>0</v>
      </c>
      <c r="AL48" s="359" t="str">
        <f t="shared" si="25"/>
        <v>Kg</v>
      </c>
      <c r="AM48" s="709">
        <f t="shared" si="37"/>
        <v>0</v>
      </c>
      <c r="AP48" s="1136" t="s">
        <v>430</v>
      </c>
      <c r="AQ48" s="1136" t="s">
        <v>493</v>
      </c>
      <c r="AR48" s="1136" t="s">
        <v>391</v>
      </c>
      <c r="AS48" s="1136" t="s">
        <v>30</v>
      </c>
      <c r="AT48" s="1162">
        <v>20</v>
      </c>
      <c r="AV48" s="33"/>
      <c r="BD48" s="1120" t="str">
        <f t="shared" si="21"/>
        <v>01</v>
      </c>
      <c r="BE48" s="1121" t="str">
        <f t="shared" si="22"/>
        <v>02</v>
      </c>
      <c r="BF48" s="1121" t="str">
        <f t="shared" si="22"/>
        <v>413010902</v>
      </c>
      <c r="BG48" s="1122" t="str">
        <f t="shared" si="38"/>
        <v>Front Drum</v>
      </c>
      <c r="BH48" s="1122">
        <f t="shared" si="39"/>
        <v>1</v>
      </c>
      <c r="BI48" s="1123">
        <f t="shared" si="40"/>
        <v>1</v>
      </c>
      <c r="BO48" s="1128" t="str">
        <f t="shared" si="32"/>
        <v>واشر فنری 14</v>
      </c>
      <c r="BP48" s="1129" t="str">
        <f t="shared" si="33"/>
        <v>A14-F-Electroplated-Din 127</v>
      </c>
      <c r="BQ48" s="1122" t="str">
        <f t="shared" si="34"/>
        <v>Pcs</v>
      </c>
      <c r="BR48" s="1122" t="str">
        <f t="shared" si="35"/>
        <v>000012111014</v>
      </c>
      <c r="BS48" s="1163">
        <f t="shared" si="36"/>
        <v>20</v>
      </c>
    </row>
    <row r="49" spans="1:71" ht="15" x14ac:dyDescent="0.25">
      <c r="A49" s="270">
        <v>42</v>
      </c>
      <c r="B49" s="77" t="s">
        <v>113</v>
      </c>
      <c r="C49" s="77" t="s">
        <v>316</v>
      </c>
      <c r="D49" s="78" t="s">
        <v>161</v>
      </c>
      <c r="E49" s="104" t="s">
        <v>3</v>
      </c>
      <c r="F49" s="77" t="s">
        <v>80</v>
      </c>
      <c r="G49" s="77">
        <v>8</v>
      </c>
      <c r="H49" s="77">
        <v>155</v>
      </c>
      <c r="I49" s="77">
        <v>270</v>
      </c>
      <c r="J49" s="77">
        <f>IF(E1=1500,0,IF(E1=2000,0,J47))</f>
        <v>0</v>
      </c>
      <c r="K49" s="77" t="s">
        <v>29</v>
      </c>
      <c r="L49" s="79">
        <f>G49*H49*I49*J49*7.85/1000000</f>
        <v>0</v>
      </c>
      <c r="M49" s="77">
        <f>((((1500-(INT(1500/H49)*H49))/(INT(1500/H49)))+H49)*G49*I49*J49*7.85)/1000000</f>
        <v>0</v>
      </c>
      <c r="N49" s="80">
        <f t="shared" ref="N49:N55" si="43">IF($E$1=1500,0,IF($E$1=2000,0,(M49-L49)/L49))</f>
        <v>0</v>
      </c>
      <c r="O49" s="641"/>
      <c r="P49" s="356">
        <f t="shared" si="11"/>
        <v>413</v>
      </c>
      <c r="Q49" s="357" t="s">
        <v>34</v>
      </c>
      <c r="R49" s="358" t="str">
        <f t="shared" si="12"/>
        <v>Front Drum</v>
      </c>
      <c r="S49" s="358">
        <v>1</v>
      </c>
      <c r="T49" s="357" t="s">
        <v>42</v>
      </c>
      <c r="U49" s="358" t="str">
        <f t="shared" si="13"/>
        <v>نبشی تقویتی میانی</v>
      </c>
      <c r="V49" s="359">
        <v>1</v>
      </c>
      <c r="W49" s="357" t="s">
        <v>36</v>
      </c>
      <c r="X49" s="360" t="str">
        <f t="shared" si="14"/>
        <v>413010903</v>
      </c>
      <c r="Y49" s="361" t="str">
        <f t="shared" si="15"/>
        <v>ورق اتصال مثلثی</v>
      </c>
      <c r="Z49" s="359" t="str">
        <f>G49&amp;"x"&amp;H49&amp;"x"&amp;I49</f>
        <v>8x155x270</v>
      </c>
      <c r="AA49" s="359">
        <f t="shared" si="16"/>
        <v>0</v>
      </c>
      <c r="AB49" s="359">
        <f t="shared" si="5"/>
        <v>0</v>
      </c>
      <c r="AC49" s="931">
        <f t="shared" si="6"/>
        <v>0</v>
      </c>
      <c r="AD49" s="10"/>
      <c r="AE49" s="706" t="str">
        <f t="shared" si="17"/>
        <v>413010903</v>
      </c>
      <c r="AF49" s="707" t="str">
        <f t="shared" si="18"/>
        <v>ورق اتصال مثلثی</v>
      </c>
      <c r="AG49" s="359" t="str">
        <f t="shared" si="19"/>
        <v>Plate</v>
      </c>
      <c r="AH49" s="359" t="str">
        <f>F49</f>
        <v>St-37</v>
      </c>
      <c r="AI49" s="741" t="s">
        <v>432</v>
      </c>
      <c r="AJ49" s="818" t="s">
        <v>472</v>
      </c>
      <c r="AK49" s="708">
        <f>IF(J49=0,0,M49/J49)</f>
        <v>0</v>
      </c>
      <c r="AL49" s="359" t="str">
        <f t="shared" si="25"/>
        <v>Kg</v>
      </c>
      <c r="AM49" s="709">
        <f t="shared" si="37"/>
        <v>0</v>
      </c>
      <c r="AP49" s="1136" t="s">
        <v>444</v>
      </c>
      <c r="AQ49" s="1136" t="s">
        <v>519</v>
      </c>
      <c r="AR49" s="1136" t="s">
        <v>398</v>
      </c>
      <c r="AS49" s="1136" t="s">
        <v>30</v>
      </c>
      <c r="AT49" s="1162">
        <v>4</v>
      </c>
      <c r="AV49" s="33"/>
      <c r="BD49" s="1120" t="str">
        <f t="shared" si="21"/>
        <v>01</v>
      </c>
      <c r="BE49" s="1121" t="str">
        <f t="shared" si="22"/>
        <v>03</v>
      </c>
      <c r="BF49" s="1121" t="str">
        <f t="shared" si="22"/>
        <v>413010903</v>
      </c>
      <c r="BG49" s="1122" t="str">
        <f t="shared" si="38"/>
        <v>Front Drum</v>
      </c>
      <c r="BH49" s="1122">
        <f t="shared" si="39"/>
        <v>1</v>
      </c>
      <c r="BI49" s="1123">
        <f t="shared" si="40"/>
        <v>1</v>
      </c>
      <c r="BO49" s="1128" t="str">
        <f t="shared" si="32"/>
        <v>واشر فنری 18</v>
      </c>
      <c r="BP49" s="1129" t="str">
        <f t="shared" si="33"/>
        <v>A18-F-Electroplated-Din 127</v>
      </c>
      <c r="BQ49" s="1122" t="str">
        <f t="shared" si="34"/>
        <v>Pcs</v>
      </c>
      <c r="BR49" s="1122" t="str">
        <f t="shared" si="35"/>
        <v>000012111018</v>
      </c>
      <c r="BS49" s="1163">
        <f t="shared" si="36"/>
        <v>4</v>
      </c>
    </row>
    <row r="50" spans="1:71" ht="15" x14ac:dyDescent="0.25">
      <c r="A50" s="270">
        <v>43</v>
      </c>
      <c r="B50" s="77" t="s">
        <v>113</v>
      </c>
      <c r="C50" s="77" t="s">
        <v>316</v>
      </c>
      <c r="D50" s="78" t="s">
        <v>318</v>
      </c>
      <c r="E50" s="104" t="s">
        <v>8</v>
      </c>
      <c r="F50" s="77" t="s">
        <v>23</v>
      </c>
      <c r="G50" s="77">
        <v>5.6</v>
      </c>
      <c r="H50" s="77" t="s">
        <v>10</v>
      </c>
      <c r="I50" s="77" t="s">
        <v>20</v>
      </c>
      <c r="J50" s="77">
        <f>IF(E1=1500,0,IF(E1=2000,0,J47*4))</f>
        <v>0</v>
      </c>
      <c r="K50" s="77" t="s">
        <v>322</v>
      </c>
      <c r="L50" s="77">
        <f>J50</f>
        <v>0</v>
      </c>
      <c r="M50" s="77">
        <f>J50</f>
        <v>0</v>
      </c>
      <c r="N50" s="80">
        <f t="shared" si="43"/>
        <v>0</v>
      </c>
      <c r="O50" s="641"/>
      <c r="P50" s="356">
        <f t="shared" si="11"/>
        <v>413</v>
      </c>
      <c r="Q50" s="357" t="s">
        <v>34</v>
      </c>
      <c r="R50" s="358" t="str">
        <f t="shared" si="12"/>
        <v>Front Drum</v>
      </c>
      <c r="S50" s="358">
        <v>1</v>
      </c>
      <c r="T50" s="357" t="s">
        <v>42</v>
      </c>
      <c r="U50" s="358" t="str">
        <f t="shared" si="13"/>
        <v>نبشی تقویتی میانی</v>
      </c>
      <c r="V50" s="359">
        <v>1</v>
      </c>
      <c r="W50" s="357" t="s">
        <v>37</v>
      </c>
      <c r="X50" s="360" t="str">
        <f t="shared" si="14"/>
        <v>413010904</v>
      </c>
      <c r="Y50" s="361" t="str">
        <f t="shared" si="15"/>
        <v>پیچ نبشی تقویتی میانی</v>
      </c>
      <c r="Z50" s="359" t="s">
        <v>23</v>
      </c>
      <c r="AA50" s="359">
        <f t="shared" si="16"/>
        <v>0</v>
      </c>
      <c r="AB50" s="359">
        <f t="shared" si="5"/>
        <v>0</v>
      </c>
      <c r="AC50" s="931">
        <f t="shared" si="6"/>
        <v>0</v>
      </c>
      <c r="AD50" s="10"/>
      <c r="AE50" s="706" t="str">
        <f t="shared" si="17"/>
        <v>413010904</v>
      </c>
      <c r="AF50" s="707" t="str">
        <f t="shared" si="18"/>
        <v>پیچ نبشی تقویتی میانی</v>
      </c>
      <c r="AG50" s="359" t="str">
        <f t="shared" si="19"/>
        <v>Hex Bolt</v>
      </c>
      <c r="AH50" s="359" t="str">
        <f t="shared" si="26"/>
        <v>M10x30-5.6-Electroplated-Din 933</v>
      </c>
      <c r="AI50" s="741" t="s">
        <v>434</v>
      </c>
      <c r="AJ50" s="818" t="s">
        <v>108</v>
      </c>
      <c r="AK50" s="708" t="s">
        <v>484</v>
      </c>
      <c r="AL50" s="359" t="str">
        <f t="shared" si="25"/>
        <v>pcs</v>
      </c>
      <c r="AM50" s="709">
        <f t="shared" si="37"/>
        <v>0</v>
      </c>
      <c r="AP50" s="1136" t="s">
        <v>417</v>
      </c>
      <c r="AQ50" s="1136" t="s">
        <v>488</v>
      </c>
      <c r="AR50" s="1136" t="s">
        <v>384</v>
      </c>
      <c r="AS50" s="1136" t="s">
        <v>30</v>
      </c>
      <c r="AT50" s="1162">
        <v>156</v>
      </c>
      <c r="AV50" s="33"/>
      <c r="BD50" s="1120" t="str">
        <f t="shared" si="21"/>
        <v>01</v>
      </c>
      <c r="BE50" s="1121" t="str">
        <f t="shared" si="22"/>
        <v>04</v>
      </c>
      <c r="BF50" s="1121" t="str">
        <f t="shared" si="22"/>
        <v>413010904</v>
      </c>
      <c r="BG50" s="1122" t="str">
        <f t="shared" si="38"/>
        <v>Front Drum</v>
      </c>
      <c r="BH50" s="1122">
        <f t="shared" si="39"/>
        <v>1</v>
      </c>
      <c r="BI50" s="1123">
        <f t="shared" si="40"/>
        <v>1</v>
      </c>
      <c r="BO50" s="1128" t="str">
        <f t="shared" si="32"/>
        <v>واشر فنری 8</v>
      </c>
      <c r="BP50" s="1129" t="str">
        <f t="shared" si="33"/>
        <v>A8-F-Electroplated-Din 127</v>
      </c>
      <c r="BQ50" s="1122" t="str">
        <f t="shared" si="34"/>
        <v>Pcs</v>
      </c>
      <c r="BR50" s="1122" t="str">
        <f t="shared" si="35"/>
        <v>000012111008</v>
      </c>
      <c r="BS50" s="1163">
        <f t="shared" si="36"/>
        <v>156</v>
      </c>
    </row>
    <row r="51" spans="1:71" ht="15" x14ac:dyDescent="0.25">
      <c r="A51" s="270">
        <v>44</v>
      </c>
      <c r="B51" s="77" t="s">
        <v>113</v>
      </c>
      <c r="C51" s="77" t="s">
        <v>316</v>
      </c>
      <c r="D51" s="78" t="s">
        <v>319</v>
      </c>
      <c r="E51" s="104" t="s">
        <v>9</v>
      </c>
      <c r="F51" s="77" t="s">
        <v>17</v>
      </c>
      <c r="G51" s="77">
        <v>5</v>
      </c>
      <c r="H51" s="77" t="s">
        <v>10</v>
      </c>
      <c r="I51" s="77" t="s">
        <v>21</v>
      </c>
      <c r="J51" s="77">
        <f>IF(E1=1500,0,IF(E1=2000,0,J50))</f>
        <v>0</v>
      </c>
      <c r="K51" s="77" t="s">
        <v>322</v>
      </c>
      <c r="L51" s="77">
        <f t="shared" ref="L51:L55" si="44">J51</f>
        <v>0</v>
      </c>
      <c r="M51" s="77">
        <f t="shared" ref="M51:M55" si="45">J51</f>
        <v>0</v>
      </c>
      <c r="N51" s="80">
        <f t="shared" si="43"/>
        <v>0</v>
      </c>
      <c r="O51" s="641"/>
      <c r="P51" s="356">
        <f t="shared" si="11"/>
        <v>413</v>
      </c>
      <c r="Q51" s="357" t="s">
        <v>34</v>
      </c>
      <c r="R51" s="358" t="str">
        <f t="shared" si="12"/>
        <v>Front Drum</v>
      </c>
      <c r="S51" s="358">
        <v>1</v>
      </c>
      <c r="T51" s="357" t="s">
        <v>42</v>
      </c>
      <c r="U51" s="358" t="str">
        <f t="shared" si="13"/>
        <v>نبشی تقویتی میانی</v>
      </c>
      <c r="V51" s="359">
        <v>1</v>
      </c>
      <c r="W51" s="357" t="s">
        <v>38</v>
      </c>
      <c r="X51" s="360" t="str">
        <f t="shared" si="14"/>
        <v>413010905</v>
      </c>
      <c r="Y51" s="361" t="str">
        <f t="shared" si="15"/>
        <v>مهره نبشی تقویتی میانی</v>
      </c>
      <c r="Z51" s="359" t="s">
        <v>17</v>
      </c>
      <c r="AA51" s="359">
        <f t="shared" si="16"/>
        <v>0</v>
      </c>
      <c r="AB51" s="359">
        <f t="shared" si="5"/>
        <v>0</v>
      </c>
      <c r="AC51" s="931">
        <f t="shared" si="6"/>
        <v>0</v>
      </c>
      <c r="AD51" s="10"/>
      <c r="AE51" s="706" t="str">
        <f t="shared" si="17"/>
        <v>413010905</v>
      </c>
      <c r="AF51" s="707" t="str">
        <f t="shared" si="18"/>
        <v>مهره نبشی تقویتی میانی</v>
      </c>
      <c r="AG51" s="359" t="str">
        <f t="shared" si="19"/>
        <v>Hex Nut</v>
      </c>
      <c r="AH51" s="359" t="str">
        <f t="shared" si="26"/>
        <v>M10-5-Electroplated-Din 934</v>
      </c>
      <c r="AI51" s="741" t="s">
        <v>435</v>
      </c>
      <c r="AJ51" s="818" t="s">
        <v>105</v>
      </c>
      <c r="AK51" s="708" t="s">
        <v>484</v>
      </c>
      <c r="AL51" s="359" t="str">
        <f t="shared" si="25"/>
        <v>pcs</v>
      </c>
      <c r="AM51" s="709">
        <f t="shared" si="37"/>
        <v>0</v>
      </c>
      <c r="AP51" s="1136" t="s">
        <v>412</v>
      </c>
      <c r="AQ51" s="1136" t="s">
        <v>116</v>
      </c>
      <c r="AR51" s="1136" t="s">
        <v>463</v>
      </c>
      <c r="AS51" s="1136" t="s">
        <v>29</v>
      </c>
      <c r="AT51" s="1162">
        <v>473.56909090909096</v>
      </c>
      <c r="AV51" s="33"/>
      <c r="BD51" s="1120" t="str">
        <f t="shared" si="21"/>
        <v>01</v>
      </c>
      <c r="BE51" s="1121" t="str">
        <f t="shared" si="22"/>
        <v>05</v>
      </c>
      <c r="BF51" s="1121" t="str">
        <f t="shared" si="22"/>
        <v>413010905</v>
      </c>
      <c r="BG51" s="1122" t="str">
        <f t="shared" si="38"/>
        <v>Front Drum</v>
      </c>
      <c r="BH51" s="1122">
        <f t="shared" si="39"/>
        <v>1</v>
      </c>
      <c r="BI51" s="1123">
        <f t="shared" si="40"/>
        <v>1</v>
      </c>
      <c r="BO51" s="1128" t="str">
        <f t="shared" si="32"/>
        <v>ورق روغنی 1000*1.5</v>
      </c>
      <c r="BP51" s="1129" t="str">
        <f t="shared" si="33"/>
        <v>C.R.P</v>
      </c>
      <c r="BQ51" s="1122" t="str">
        <f t="shared" si="34"/>
        <v>Kg</v>
      </c>
      <c r="BR51" s="1122" t="str">
        <f t="shared" si="35"/>
        <v>000110150100</v>
      </c>
      <c r="BS51" s="1163">
        <f t="shared" si="36"/>
        <v>473.56909090909096</v>
      </c>
    </row>
    <row r="52" spans="1:71" ht="15" x14ac:dyDescent="0.25">
      <c r="A52" s="270">
        <v>45</v>
      </c>
      <c r="B52" s="77" t="s">
        <v>113</v>
      </c>
      <c r="C52" s="77" t="s">
        <v>316</v>
      </c>
      <c r="D52" s="78" t="s">
        <v>320</v>
      </c>
      <c r="E52" s="104" t="s">
        <v>18</v>
      </c>
      <c r="F52" s="77" t="s">
        <v>25</v>
      </c>
      <c r="G52" s="77" t="s">
        <v>24</v>
      </c>
      <c r="H52" s="77" t="s">
        <v>10</v>
      </c>
      <c r="I52" s="77" t="s">
        <v>22</v>
      </c>
      <c r="J52" s="77">
        <f>IF(E1=1500,0,IF(E1=2000,0,J51))</f>
        <v>0</v>
      </c>
      <c r="K52" s="77" t="s">
        <v>322</v>
      </c>
      <c r="L52" s="77">
        <f t="shared" si="44"/>
        <v>0</v>
      </c>
      <c r="M52" s="77">
        <f t="shared" si="45"/>
        <v>0</v>
      </c>
      <c r="N52" s="80">
        <f t="shared" si="43"/>
        <v>0</v>
      </c>
      <c r="O52" s="641"/>
      <c r="P52" s="356">
        <f t="shared" si="11"/>
        <v>413</v>
      </c>
      <c r="Q52" s="357" t="s">
        <v>34</v>
      </c>
      <c r="R52" s="358" t="str">
        <f t="shared" si="12"/>
        <v>Front Drum</v>
      </c>
      <c r="S52" s="358">
        <v>1</v>
      </c>
      <c r="T52" s="357" t="s">
        <v>42</v>
      </c>
      <c r="U52" s="358" t="str">
        <f t="shared" si="13"/>
        <v>نبشی تقویتی میانی</v>
      </c>
      <c r="V52" s="359">
        <v>1</v>
      </c>
      <c r="W52" s="357" t="s">
        <v>39</v>
      </c>
      <c r="X52" s="360" t="str">
        <f t="shared" si="14"/>
        <v>413010906</v>
      </c>
      <c r="Y52" s="361" t="str">
        <f t="shared" si="15"/>
        <v>واشر فنری نبشی تقویتی میانی</v>
      </c>
      <c r="Z52" s="359" t="s">
        <v>25</v>
      </c>
      <c r="AA52" s="359">
        <f t="shared" si="16"/>
        <v>0</v>
      </c>
      <c r="AB52" s="359">
        <f t="shared" si="5"/>
        <v>0</v>
      </c>
      <c r="AC52" s="931">
        <f t="shared" si="6"/>
        <v>0</v>
      </c>
      <c r="AD52" s="10"/>
      <c r="AE52" s="706" t="str">
        <f t="shared" si="17"/>
        <v>413010906</v>
      </c>
      <c r="AF52" s="707" t="str">
        <f t="shared" si="18"/>
        <v>واشر فنری نبشی تقویتی میانی</v>
      </c>
      <c r="AG52" s="359" t="str">
        <f t="shared" si="19"/>
        <v>Spring Washer</v>
      </c>
      <c r="AH52" s="359" t="str">
        <f t="shared" si="26"/>
        <v>A10-F-Electroplated-Din 127</v>
      </c>
      <c r="AI52" s="741" t="s">
        <v>101</v>
      </c>
      <c r="AJ52" s="818" t="s">
        <v>106</v>
      </c>
      <c r="AK52" s="708" t="s">
        <v>484</v>
      </c>
      <c r="AL52" s="359" t="str">
        <f t="shared" si="25"/>
        <v>pcs</v>
      </c>
      <c r="AM52" s="709">
        <f t="shared" si="37"/>
        <v>0</v>
      </c>
      <c r="AP52" s="1136" t="s">
        <v>447</v>
      </c>
      <c r="AQ52" s="1136" t="s">
        <v>80</v>
      </c>
      <c r="AR52" s="1136" t="s">
        <v>482</v>
      </c>
      <c r="AS52" s="1136" t="s">
        <v>29</v>
      </c>
      <c r="AT52" s="1162">
        <v>1.5638671875000001</v>
      </c>
      <c r="AV52" s="33"/>
      <c r="BD52" s="1120" t="str">
        <f t="shared" si="21"/>
        <v>01</v>
      </c>
      <c r="BE52" s="1121" t="str">
        <f t="shared" si="22"/>
        <v>06</v>
      </c>
      <c r="BF52" s="1121" t="str">
        <f t="shared" si="22"/>
        <v>413010906</v>
      </c>
      <c r="BG52" s="1122" t="str">
        <f t="shared" si="38"/>
        <v>Front Drum</v>
      </c>
      <c r="BH52" s="1122">
        <f t="shared" si="39"/>
        <v>1</v>
      </c>
      <c r="BI52" s="1123">
        <f t="shared" si="40"/>
        <v>1</v>
      </c>
      <c r="BO52" s="1128" t="str">
        <f t="shared" si="32"/>
        <v>ورق سیاه 1250*3</v>
      </c>
      <c r="BP52" s="1129" t="str">
        <f t="shared" si="33"/>
        <v>St-37</v>
      </c>
      <c r="BQ52" s="1122" t="str">
        <f t="shared" si="34"/>
        <v>Kg</v>
      </c>
      <c r="BR52" s="1122" t="str">
        <f t="shared" si="35"/>
        <v>000130300125</v>
      </c>
      <c r="BS52" s="1163">
        <f t="shared" si="36"/>
        <v>1.5638671875000001</v>
      </c>
    </row>
    <row r="53" spans="1:71" ht="15" x14ac:dyDescent="0.25">
      <c r="A53" s="270">
        <v>46</v>
      </c>
      <c r="B53" s="77" t="s">
        <v>113</v>
      </c>
      <c r="C53" s="77" t="s">
        <v>316</v>
      </c>
      <c r="D53" s="78" t="s">
        <v>162</v>
      </c>
      <c r="E53" s="104" t="s">
        <v>8</v>
      </c>
      <c r="F53" s="77" t="s">
        <v>163</v>
      </c>
      <c r="G53" s="77">
        <v>5.6</v>
      </c>
      <c r="H53" s="77" t="s">
        <v>10</v>
      </c>
      <c r="I53" s="77" t="s">
        <v>20</v>
      </c>
      <c r="J53" s="77">
        <f>IF(E1=1500,0,IF(E1=2000,0,J47*2))</f>
        <v>0</v>
      </c>
      <c r="K53" s="77" t="s">
        <v>322</v>
      </c>
      <c r="L53" s="77">
        <f t="shared" si="44"/>
        <v>0</v>
      </c>
      <c r="M53" s="77">
        <f t="shared" si="45"/>
        <v>0</v>
      </c>
      <c r="N53" s="80">
        <f t="shared" si="43"/>
        <v>0</v>
      </c>
      <c r="O53" s="641"/>
      <c r="P53" s="356">
        <f t="shared" si="11"/>
        <v>413</v>
      </c>
      <c r="Q53" s="357" t="s">
        <v>34</v>
      </c>
      <c r="R53" s="358" t="str">
        <f t="shared" si="12"/>
        <v>Front Drum</v>
      </c>
      <c r="S53" s="358">
        <v>1</v>
      </c>
      <c r="T53" s="357" t="s">
        <v>42</v>
      </c>
      <c r="U53" s="358" t="str">
        <f t="shared" si="13"/>
        <v>نبشی تقویتی میانی</v>
      </c>
      <c r="V53" s="359">
        <v>1</v>
      </c>
      <c r="W53" s="357" t="s">
        <v>40</v>
      </c>
      <c r="X53" s="360" t="str">
        <f t="shared" si="14"/>
        <v>413010907</v>
      </c>
      <c r="Y53" s="361" t="str">
        <f t="shared" si="15"/>
        <v>پیچ اتصال صفحه مثلثی به بدنه</v>
      </c>
      <c r="Z53" s="359" t="s">
        <v>163</v>
      </c>
      <c r="AA53" s="359">
        <f t="shared" si="16"/>
        <v>0</v>
      </c>
      <c r="AB53" s="359">
        <f t="shared" si="5"/>
        <v>0</v>
      </c>
      <c r="AC53" s="931">
        <f t="shared" si="6"/>
        <v>0</v>
      </c>
      <c r="AD53" s="10"/>
      <c r="AE53" s="706" t="str">
        <f t="shared" si="17"/>
        <v>413010907</v>
      </c>
      <c r="AF53" s="707" t="str">
        <f t="shared" si="18"/>
        <v>پیچ اتصال صفحه مثلثی به بدنه</v>
      </c>
      <c r="AG53" s="359" t="str">
        <f t="shared" si="19"/>
        <v>Hex Bolt</v>
      </c>
      <c r="AH53" s="359" t="str">
        <f t="shared" si="26"/>
        <v>M8x30-5.6-Electroplated-Din 933</v>
      </c>
      <c r="AI53" s="741" t="s">
        <v>433</v>
      </c>
      <c r="AJ53" s="818" t="s">
        <v>392</v>
      </c>
      <c r="AK53" s="708" t="s">
        <v>484</v>
      </c>
      <c r="AL53" s="359" t="str">
        <f t="shared" si="25"/>
        <v>pcs</v>
      </c>
      <c r="AM53" s="709">
        <f t="shared" si="37"/>
        <v>0</v>
      </c>
      <c r="AP53" s="1136" t="s">
        <v>413</v>
      </c>
      <c r="AQ53" s="1136" t="s">
        <v>80</v>
      </c>
      <c r="AR53" s="1136" t="s">
        <v>464</v>
      </c>
      <c r="AS53" s="1136" t="s">
        <v>29</v>
      </c>
      <c r="AT53" s="1162">
        <v>329.73366453432288</v>
      </c>
      <c r="AV53" s="33"/>
      <c r="BD53" s="1120" t="str">
        <f t="shared" si="21"/>
        <v>01</v>
      </c>
      <c r="BE53" s="1121" t="str">
        <f t="shared" si="22"/>
        <v>07</v>
      </c>
      <c r="BF53" s="1121" t="str">
        <f t="shared" si="22"/>
        <v>413010907</v>
      </c>
      <c r="BG53" s="1122" t="str">
        <f t="shared" si="38"/>
        <v>Front Drum</v>
      </c>
      <c r="BH53" s="1122">
        <f t="shared" si="39"/>
        <v>1</v>
      </c>
      <c r="BI53" s="1123">
        <f t="shared" si="40"/>
        <v>1</v>
      </c>
      <c r="BO53" s="1128" t="str">
        <f t="shared" si="32"/>
        <v>ورق سیاه 1250*4</v>
      </c>
      <c r="BP53" s="1129" t="str">
        <f t="shared" si="33"/>
        <v>St-37</v>
      </c>
      <c r="BQ53" s="1122" t="str">
        <f t="shared" si="34"/>
        <v>Kg</v>
      </c>
      <c r="BR53" s="1122" t="str">
        <f t="shared" si="35"/>
        <v>000130400125</v>
      </c>
      <c r="BS53" s="1163">
        <f t="shared" si="36"/>
        <v>329.73366453432288</v>
      </c>
    </row>
    <row r="54" spans="1:71" ht="15" x14ac:dyDescent="0.25">
      <c r="A54" s="270">
        <v>47</v>
      </c>
      <c r="B54" s="77" t="s">
        <v>113</v>
      </c>
      <c r="C54" s="77" t="s">
        <v>316</v>
      </c>
      <c r="D54" s="78" t="s">
        <v>164</v>
      </c>
      <c r="E54" s="104" t="s">
        <v>9</v>
      </c>
      <c r="F54" s="77" t="s">
        <v>27</v>
      </c>
      <c r="G54" s="77">
        <v>5</v>
      </c>
      <c r="H54" s="77" t="s">
        <v>10</v>
      </c>
      <c r="I54" s="77" t="s">
        <v>21</v>
      </c>
      <c r="J54" s="77">
        <f>IF(E1=1500,0,IF(E1=2000,0,J53))</f>
        <v>0</v>
      </c>
      <c r="K54" s="77" t="s">
        <v>322</v>
      </c>
      <c r="L54" s="77">
        <f t="shared" si="44"/>
        <v>0</v>
      </c>
      <c r="M54" s="77">
        <f t="shared" si="45"/>
        <v>0</v>
      </c>
      <c r="N54" s="80">
        <f t="shared" si="43"/>
        <v>0</v>
      </c>
      <c r="O54" s="641"/>
      <c r="P54" s="356">
        <f t="shared" si="11"/>
        <v>413</v>
      </c>
      <c r="Q54" s="357" t="s">
        <v>34</v>
      </c>
      <c r="R54" s="358" t="str">
        <f t="shared" si="12"/>
        <v>Front Drum</v>
      </c>
      <c r="S54" s="358">
        <v>1</v>
      </c>
      <c r="T54" s="357" t="s">
        <v>42</v>
      </c>
      <c r="U54" s="358" t="str">
        <f t="shared" si="13"/>
        <v>نبشی تقویتی میانی</v>
      </c>
      <c r="V54" s="359">
        <v>1</v>
      </c>
      <c r="W54" s="357" t="s">
        <v>41</v>
      </c>
      <c r="X54" s="360" t="str">
        <f t="shared" si="14"/>
        <v>413010908</v>
      </c>
      <c r="Y54" s="361" t="str">
        <f t="shared" si="15"/>
        <v>مهره اتصال صفحه مثلثی به بدنه</v>
      </c>
      <c r="Z54" s="359" t="s">
        <v>340</v>
      </c>
      <c r="AA54" s="359">
        <f t="shared" si="16"/>
        <v>0</v>
      </c>
      <c r="AB54" s="359">
        <f t="shared" si="5"/>
        <v>0</v>
      </c>
      <c r="AC54" s="931">
        <f t="shared" si="6"/>
        <v>0</v>
      </c>
      <c r="AD54" s="10"/>
      <c r="AE54" s="706" t="str">
        <f t="shared" si="17"/>
        <v>413010908</v>
      </c>
      <c r="AF54" s="707" t="str">
        <f t="shared" si="18"/>
        <v>مهره اتصال صفحه مثلثی به بدنه</v>
      </c>
      <c r="AG54" s="359" t="str">
        <f t="shared" si="19"/>
        <v>Hex Nut</v>
      </c>
      <c r="AH54" s="359" t="str">
        <f t="shared" si="26"/>
        <v>M8-5-Electroplated-Din 934</v>
      </c>
      <c r="AI54" s="741" t="s">
        <v>416</v>
      </c>
      <c r="AJ54" s="818" t="s">
        <v>110</v>
      </c>
      <c r="AK54" s="708" t="s">
        <v>484</v>
      </c>
      <c r="AL54" s="359" t="str">
        <f t="shared" si="25"/>
        <v>pcs</v>
      </c>
      <c r="AM54" s="709">
        <f t="shared" si="37"/>
        <v>0</v>
      </c>
      <c r="AP54" s="1136" t="s">
        <v>427</v>
      </c>
      <c r="AQ54" s="1136" t="s">
        <v>80</v>
      </c>
      <c r="AR54" s="1136" t="s">
        <v>471</v>
      </c>
      <c r="AS54" s="1136" t="s">
        <v>29</v>
      </c>
      <c r="AT54" s="1162">
        <v>40.988214285714285</v>
      </c>
      <c r="AV54" s="33"/>
      <c r="BD54" s="1120" t="str">
        <f t="shared" si="21"/>
        <v>01</v>
      </c>
      <c r="BE54" s="1121" t="str">
        <f t="shared" si="22"/>
        <v>08</v>
      </c>
      <c r="BF54" s="1121" t="str">
        <f t="shared" si="22"/>
        <v>413010908</v>
      </c>
      <c r="BG54" s="1122" t="str">
        <f t="shared" si="38"/>
        <v>Front Drum</v>
      </c>
      <c r="BH54" s="1122">
        <f t="shared" si="39"/>
        <v>1</v>
      </c>
      <c r="BI54" s="1123">
        <f t="shared" si="40"/>
        <v>1</v>
      </c>
      <c r="BO54" s="1128" t="str">
        <f t="shared" si="32"/>
        <v>ورق سیاه 1500*10</v>
      </c>
      <c r="BP54" s="1129" t="str">
        <f t="shared" si="33"/>
        <v>St-37</v>
      </c>
      <c r="BQ54" s="1122" t="str">
        <f t="shared" si="34"/>
        <v>Kg</v>
      </c>
      <c r="BR54" s="1122" t="str">
        <f t="shared" si="35"/>
        <v>000131000150</v>
      </c>
      <c r="BS54" s="1163">
        <f t="shared" si="36"/>
        <v>40.988214285714285</v>
      </c>
    </row>
    <row r="55" spans="1:71" ht="15.75" thickBot="1" x14ac:dyDescent="0.3">
      <c r="A55" s="283">
        <v>48</v>
      </c>
      <c r="B55" s="284" t="s">
        <v>113</v>
      </c>
      <c r="C55" s="284" t="s">
        <v>316</v>
      </c>
      <c r="D55" s="285" t="s">
        <v>321</v>
      </c>
      <c r="E55" s="293" t="s">
        <v>18</v>
      </c>
      <c r="F55" s="284" t="s">
        <v>28</v>
      </c>
      <c r="G55" s="284" t="s">
        <v>24</v>
      </c>
      <c r="H55" s="284" t="s">
        <v>10</v>
      </c>
      <c r="I55" s="284" t="s">
        <v>22</v>
      </c>
      <c r="J55" s="284">
        <f>IF(E1=1500,0,IF(E1=2000,0,J54))</f>
        <v>0</v>
      </c>
      <c r="K55" s="284" t="s">
        <v>322</v>
      </c>
      <c r="L55" s="284">
        <f t="shared" si="44"/>
        <v>0</v>
      </c>
      <c r="M55" s="284">
        <f t="shared" si="45"/>
        <v>0</v>
      </c>
      <c r="N55" s="286">
        <f t="shared" si="43"/>
        <v>0</v>
      </c>
      <c r="O55" s="641"/>
      <c r="P55" s="364">
        <f t="shared" si="11"/>
        <v>413</v>
      </c>
      <c r="Q55" s="365" t="s">
        <v>34</v>
      </c>
      <c r="R55" s="366" t="str">
        <f t="shared" si="12"/>
        <v>Front Drum</v>
      </c>
      <c r="S55" s="366">
        <v>1</v>
      </c>
      <c r="T55" s="357" t="s">
        <v>42</v>
      </c>
      <c r="U55" s="366" t="str">
        <f t="shared" si="13"/>
        <v>نبشی تقویتی میانی</v>
      </c>
      <c r="V55" s="367">
        <v>1</v>
      </c>
      <c r="W55" s="357" t="s">
        <v>42</v>
      </c>
      <c r="X55" s="368" t="str">
        <f t="shared" si="14"/>
        <v>413010909</v>
      </c>
      <c r="Y55" s="369" t="str">
        <f t="shared" si="15"/>
        <v>واشر فنری صفحه مثلثی به بدنه</v>
      </c>
      <c r="Z55" s="367" t="s">
        <v>28</v>
      </c>
      <c r="AA55" s="367">
        <f t="shared" si="16"/>
        <v>0</v>
      </c>
      <c r="AB55" s="367">
        <f t="shared" si="5"/>
        <v>0</v>
      </c>
      <c r="AC55" s="932">
        <f t="shared" si="6"/>
        <v>0</v>
      </c>
      <c r="AD55" s="10"/>
      <c r="AE55" s="713" t="str">
        <f t="shared" si="17"/>
        <v>413010909</v>
      </c>
      <c r="AF55" s="714" t="str">
        <f t="shared" si="18"/>
        <v>واشر فنری صفحه مثلثی به بدنه</v>
      </c>
      <c r="AG55" s="367" t="str">
        <f t="shared" si="19"/>
        <v>Spring Washer</v>
      </c>
      <c r="AH55" s="367" t="str">
        <f t="shared" si="26"/>
        <v>A8-F-Electroplated-Din 127</v>
      </c>
      <c r="AI55" s="749" t="s">
        <v>417</v>
      </c>
      <c r="AJ55" s="823" t="s">
        <v>384</v>
      </c>
      <c r="AK55" s="738" t="s">
        <v>484</v>
      </c>
      <c r="AL55" s="367" t="str">
        <f t="shared" si="25"/>
        <v>pcs</v>
      </c>
      <c r="AM55" s="739">
        <f t="shared" si="37"/>
        <v>0</v>
      </c>
      <c r="AP55" s="1136" t="s">
        <v>439</v>
      </c>
      <c r="AQ55" s="1136" t="s">
        <v>80</v>
      </c>
      <c r="AR55" s="1136" t="s">
        <v>483</v>
      </c>
      <c r="AS55" s="1136" t="s">
        <v>29</v>
      </c>
      <c r="AT55" s="1162">
        <v>6.6234375000000005</v>
      </c>
      <c r="AV55" s="33"/>
      <c r="BD55" s="1120" t="str">
        <f t="shared" si="21"/>
        <v>01</v>
      </c>
      <c r="BE55" s="1121" t="str">
        <f t="shared" si="22"/>
        <v>09</v>
      </c>
      <c r="BF55" s="1121" t="str">
        <f t="shared" si="22"/>
        <v>413010909</v>
      </c>
      <c r="BG55" s="1122" t="str">
        <f t="shared" si="38"/>
        <v>Front Drum</v>
      </c>
      <c r="BH55" s="1122">
        <f t="shared" si="39"/>
        <v>1</v>
      </c>
      <c r="BI55" s="1123">
        <f t="shared" si="40"/>
        <v>1</v>
      </c>
      <c r="BO55" s="1128" t="str">
        <f t="shared" si="32"/>
        <v>ورق سیاه 1500*20</v>
      </c>
      <c r="BP55" s="1129" t="str">
        <f t="shared" si="33"/>
        <v>St-37</v>
      </c>
      <c r="BQ55" s="1122" t="str">
        <f t="shared" si="34"/>
        <v>Kg</v>
      </c>
      <c r="BR55" s="1122" t="str">
        <f t="shared" si="35"/>
        <v>000132000150</v>
      </c>
      <c r="BS55" s="1163">
        <f t="shared" si="36"/>
        <v>6.6234375000000005</v>
      </c>
    </row>
    <row r="56" spans="1:71" ht="15" x14ac:dyDescent="0.2">
      <c r="A56" s="1170">
        <v>49</v>
      </c>
      <c r="B56" s="123" t="s">
        <v>175</v>
      </c>
      <c r="C56" s="124" t="s">
        <v>155</v>
      </c>
      <c r="D56" s="125" t="s">
        <v>115</v>
      </c>
      <c r="E56" s="125" t="s">
        <v>3</v>
      </c>
      <c r="F56" s="125" t="s">
        <v>527</v>
      </c>
      <c r="G56" s="124">
        <v>1.5</v>
      </c>
      <c r="H56" s="124">
        <v>840</v>
      </c>
      <c r="I56" s="124">
        <v>1570</v>
      </c>
      <c r="J56" s="124">
        <f>IF(E2=3400,0,IF($E$1=1500,6,IF($E$1=2000,8,IF($E$1=2500,10,12))))</f>
        <v>8</v>
      </c>
      <c r="K56" s="124" t="s">
        <v>29</v>
      </c>
      <c r="L56" s="126">
        <f>(J56*G56*H56*I56*7.85/1000000)-(20*20*1.5*7.85*2046*J56/1000000)</f>
        <v>47.137680000000003</v>
      </c>
      <c r="M56" s="126">
        <f>1650*1000*1.5*7.85*J56/1000000</f>
        <v>155.43</v>
      </c>
      <c r="N56" s="127">
        <f>IF($E$2=3400,0,(M56-L56)/L56)</f>
        <v>2.2973621103117505</v>
      </c>
      <c r="O56" s="641"/>
      <c r="P56" s="441">
        <f t="shared" si="11"/>
        <v>413</v>
      </c>
      <c r="Q56" s="442" t="s">
        <v>35</v>
      </c>
      <c r="R56" s="443" t="str">
        <f t="shared" si="12"/>
        <v>Midle Drum</v>
      </c>
      <c r="S56" s="443">
        <v>1</v>
      </c>
      <c r="T56" s="442" t="s">
        <v>34</v>
      </c>
      <c r="U56" s="443" t="str">
        <f t="shared" si="13"/>
        <v>بدنه</v>
      </c>
      <c r="V56" s="678">
        <v>1</v>
      </c>
      <c r="W56" s="608" t="s">
        <v>34</v>
      </c>
      <c r="X56" s="444" t="str">
        <f t="shared" si="14"/>
        <v>413020101</v>
      </c>
      <c r="Y56" s="445" t="str">
        <f t="shared" si="15"/>
        <v>توری پانچی</v>
      </c>
      <c r="Z56" s="678" t="s">
        <v>336</v>
      </c>
      <c r="AA56" s="446">
        <f t="shared" si="16"/>
        <v>8</v>
      </c>
      <c r="AB56" s="646">
        <f t="shared" si="5"/>
        <v>8</v>
      </c>
      <c r="AC56" s="921">
        <f t="shared" si="6"/>
        <v>8</v>
      </c>
      <c r="AD56" s="10"/>
      <c r="AE56" s="755" t="str">
        <f t="shared" si="17"/>
        <v>413020101</v>
      </c>
      <c r="AF56" s="756" t="str">
        <f t="shared" si="18"/>
        <v>توری پانچی</v>
      </c>
      <c r="AG56" s="446" t="str">
        <f t="shared" si="19"/>
        <v>Plate</v>
      </c>
      <c r="AH56" s="446" t="str">
        <f>F56</f>
        <v>St-12</v>
      </c>
      <c r="AI56" s="678" t="s">
        <v>412</v>
      </c>
      <c r="AJ56" s="831" t="s">
        <v>463</v>
      </c>
      <c r="AK56" s="878">
        <f>IF(E2=3400,0,M56/J56)</f>
        <v>19.428750000000001</v>
      </c>
      <c r="AL56" s="446" t="str">
        <f t="shared" si="25"/>
        <v>Kg</v>
      </c>
      <c r="AM56" s="1029">
        <f t="shared" si="37"/>
        <v>155.43</v>
      </c>
      <c r="AN56" s="10"/>
      <c r="AP56" s="1136" t="s">
        <v>432</v>
      </c>
      <c r="AQ56" s="1136" t="s">
        <v>80</v>
      </c>
      <c r="AR56" s="1136" t="s">
        <v>472</v>
      </c>
      <c r="AS56" s="1136" t="s">
        <v>29</v>
      </c>
      <c r="AT56" s="1162">
        <v>24.378900900900899</v>
      </c>
      <c r="BD56" s="1120" t="str">
        <f t="shared" si="21"/>
        <v>02</v>
      </c>
      <c r="BE56" s="1121" t="str">
        <f t="shared" si="22"/>
        <v>01</v>
      </c>
      <c r="BF56" s="1121" t="str">
        <f t="shared" si="22"/>
        <v>413020101</v>
      </c>
      <c r="BG56" s="1122" t="str">
        <f t="shared" si="38"/>
        <v>Midle Drum</v>
      </c>
      <c r="BH56" s="1122">
        <f t="shared" si="39"/>
        <v>1</v>
      </c>
      <c r="BI56" s="1123">
        <f t="shared" si="40"/>
        <v>1</v>
      </c>
      <c r="BO56" s="1128" t="str">
        <f t="shared" si="32"/>
        <v>ورق سیاه 1500*8</v>
      </c>
      <c r="BP56" s="1129" t="str">
        <f t="shared" si="33"/>
        <v>St-37</v>
      </c>
      <c r="BQ56" s="1122" t="str">
        <f t="shared" si="34"/>
        <v>Kg</v>
      </c>
      <c r="BR56" s="1122" t="str">
        <f t="shared" si="35"/>
        <v>000130800150</v>
      </c>
      <c r="BS56" s="1163">
        <f t="shared" si="36"/>
        <v>24.378900900900899</v>
      </c>
    </row>
    <row r="57" spans="1:71" ht="15" x14ac:dyDescent="0.2">
      <c r="A57" s="1171">
        <v>50</v>
      </c>
      <c r="B57" s="122" t="s">
        <v>175</v>
      </c>
      <c r="C57" s="114" t="s">
        <v>155</v>
      </c>
      <c r="D57" s="115" t="s">
        <v>120</v>
      </c>
      <c r="E57" s="115" t="s">
        <v>3</v>
      </c>
      <c r="F57" s="115" t="s">
        <v>80</v>
      </c>
      <c r="G57" s="114">
        <v>4</v>
      </c>
      <c r="H57" s="114">
        <v>131</v>
      </c>
      <c r="I57" s="114">
        <v>1900</v>
      </c>
      <c r="J57" s="114">
        <f>J56</f>
        <v>8</v>
      </c>
      <c r="K57" s="114" t="s">
        <v>29</v>
      </c>
      <c r="L57" s="116">
        <f>J57*G57*H57*I57*7.85/1000000</f>
        <v>62.523679999999999</v>
      </c>
      <c r="M57" s="116">
        <f>((((1250-(INT(1250/H57)*H57))/(INT(1250/H57)))+H57)*G57*I57*J57*7.85)/1000000</f>
        <v>66.288888888888877</v>
      </c>
      <c r="N57" s="128">
        <f t="shared" ref="N57:N72" si="46">IF($E$2=3400,0,(M57-L57)/L57)</f>
        <v>6.0220525869380662E-2</v>
      </c>
      <c r="O57" s="641"/>
      <c r="P57" s="447">
        <f t="shared" si="11"/>
        <v>413</v>
      </c>
      <c r="Q57" s="448" t="s">
        <v>35</v>
      </c>
      <c r="R57" s="449" t="str">
        <f t="shared" si="12"/>
        <v>Midle Drum</v>
      </c>
      <c r="S57" s="449">
        <v>1</v>
      </c>
      <c r="T57" s="448" t="s">
        <v>34</v>
      </c>
      <c r="U57" s="449" t="str">
        <f t="shared" si="13"/>
        <v>بدنه</v>
      </c>
      <c r="V57" s="679">
        <v>1</v>
      </c>
      <c r="W57" s="609" t="s">
        <v>35</v>
      </c>
      <c r="X57" s="450" t="str">
        <f t="shared" si="14"/>
        <v>413020102</v>
      </c>
      <c r="Y57" s="451" t="str">
        <f t="shared" si="15"/>
        <v>ناودانی میانی بدنه</v>
      </c>
      <c r="Z57" s="679" t="s">
        <v>337</v>
      </c>
      <c r="AA57" s="452">
        <f t="shared" si="16"/>
        <v>8</v>
      </c>
      <c r="AB57" s="647">
        <f t="shared" si="5"/>
        <v>8</v>
      </c>
      <c r="AC57" s="922">
        <f t="shared" si="6"/>
        <v>8</v>
      </c>
      <c r="AD57" s="10"/>
      <c r="AE57" s="757" t="str">
        <f t="shared" si="17"/>
        <v>413020102</v>
      </c>
      <c r="AF57" s="758" t="str">
        <f t="shared" si="18"/>
        <v>ناودانی میانی بدنه</v>
      </c>
      <c r="AG57" s="452" t="str">
        <f t="shared" si="19"/>
        <v>Plate</v>
      </c>
      <c r="AH57" s="452" t="str">
        <f>F57</f>
        <v>St-37</v>
      </c>
      <c r="AI57" s="679" t="s">
        <v>413</v>
      </c>
      <c r="AJ57" s="832" t="s">
        <v>464</v>
      </c>
      <c r="AK57" s="879">
        <f>IF(J57=0,0,M57/J57)</f>
        <v>8.2861111111111097</v>
      </c>
      <c r="AL57" s="452" t="str">
        <f t="shared" si="25"/>
        <v>Kg</v>
      </c>
      <c r="AM57" s="1030">
        <f t="shared" si="37"/>
        <v>66.288888888888877</v>
      </c>
      <c r="AN57" s="10"/>
      <c r="AP57" s="1136" t="s">
        <v>419</v>
      </c>
      <c r="AQ57" s="1136" t="s">
        <v>4</v>
      </c>
      <c r="AR57" s="1136" t="s">
        <v>467</v>
      </c>
      <c r="AS57" s="1136" t="s">
        <v>29</v>
      </c>
      <c r="AT57" s="1162">
        <v>20.006999999999998</v>
      </c>
      <c r="BD57" s="1120" t="str">
        <f t="shared" si="21"/>
        <v>02</v>
      </c>
      <c r="BE57" s="1121" t="str">
        <f t="shared" si="22"/>
        <v>02</v>
      </c>
      <c r="BF57" s="1121" t="str">
        <f t="shared" si="22"/>
        <v>413020102</v>
      </c>
      <c r="BG57" s="1122" t="str">
        <f t="shared" si="38"/>
        <v>Midle Drum</v>
      </c>
      <c r="BH57" s="1122">
        <f t="shared" si="39"/>
        <v>1</v>
      </c>
      <c r="BI57" s="1123">
        <f t="shared" si="40"/>
        <v>1</v>
      </c>
      <c r="BO57" s="1128" t="str">
        <f t="shared" si="32"/>
        <v>ورق گالوانیزه 1000*1.5</v>
      </c>
      <c r="BP57" s="1129" t="str">
        <f t="shared" si="33"/>
        <v>H.D.G</v>
      </c>
      <c r="BQ57" s="1122" t="str">
        <f t="shared" si="34"/>
        <v>Kg</v>
      </c>
      <c r="BR57" s="1122" t="str">
        <f t="shared" si="35"/>
        <v>000140150100</v>
      </c>
      <c r="BS57" s="1163">
        <f t="shared" si="36"/>
        <v>20.006999999999998</v>
      </c>
    </row>
    <row r="58" spans="1:71" ht="15" x14ac:dyDescent="0.2">
      <c r="A58" s="1171">
        <v>51</v>
      </c>
      <c r="B58" s="122" t="s">
        <v>175</v>
      </c>
      <c r="C58" s="114" t="s">
        <v>155</v>
      </c>
      <c r="D58" s="115" t="s">
        <v>121</v>
      </c>
      <c r="E58" s="115" t="s">
        <v>3</v>
      </c>
      <c r="F58" s="115" t="s">
        <v>80</v>
      </c>
      <c r="G58" s="114">
        <v>4</v>
      </c>
      <c r="H58" s="114">
        <v>73</v>
      </c>
      <c r="I58" s="114">
        <v>1570</v>
      </c>
      <c r="J58" s="114">
        <f>J56</f>
        <v>8</v>
      </c>
      <c r="K58" s="114" t="s">
        <v>29</v>
      </c>
      <c r="L58" s="116">
        <f>J58*G58*H58*I58*7.85/1000000</f>
        <v>28.790032</v>
      </c>
      <c r="M58" s="116">
        <f>((((1250-(INT(1250/H58)*H58))/(INT(1250/H58)))+H58)*G58*I58*J58*7.85)/1000000</f>
        <v>28.998823529411762</v>
      </c>
      <c r="N58" s="128">
        <f t="shared" si="46"/>
        <v>7.2522159548750117E-3</v>
      </c>
      <c r="O58" s="641"/>
      <c r="P58" s="447">
        <f t="shared" si="11"/>
        <v>413</v>
      </c>
      <c r="Q58" s="448" t="s">
        <v>35</v>
      </c>
      <c r="R58" s="449" t="str">
        <f t="shared" si="12"/>
        <v>Midle Drum</v>
      </c>
      <c r="S58" s="449">
        <v>1</v>
      </c>
      <c r="T58" s="448" t="s">
        <v>34</v>
      </c>
      <c r="U58" s="449" t="str">
        <f t="shared" si="13"/>
        <v>بدنه</v>
      </c>
      <c r="V58" s="679">
        <v>1</v>
      </c>
      <c r="W58" s="609" t="s">
        <v>36</v>
      </c>
      <c r="X58" s="450" t="str">
        <f t="shared" si="14"/>
        <v>413020103</v>
      </c>
      <c r="Y58" s="451" t="str">
        <f t="shared" si="15"/>
        <v>نبشی بدنه</v>
      </c>
      <c r="Z58" s="679" t="s">
        <v>338</v>
      </c>
      <c r="AA58" s="452">
        <f t="shared" si="16"/>
        <v>8</v>
      </c>
      <c r="AB58" s="647">
        <f t="shared" si="5"/>
        <v>8</v>
      </c>
      <c r="AC58" s="922">
        <f t="shared" si="6"/>
        <v>8</v>
      </c>
      <c r="AD58" s="10"/>
      <c r="AE58" s="757" t="str">
        <f t="shared" si="17"/>
        <v>413020103</v>
      </c>
      <c r="AF58" s="758" t="str">
        <f t="shared" si="18"/>
        <v>نبشی بدنه</v>
      </c>
      <c r="AG58" s="452" t="str">
        <f t="shared" si="19"/>
        <v>Plate</v>
      </c>
      <c r="AH58" s="452" t="str">
        <f>F58</f>
        <v>St-37</v>
      </c>
      <c r="AI58" s="679" t="s">
        <v>413</v>
      </c>
      <c r="AJ58" s="832" t="s">
        <v>464</v>
      </c>
      <c r="AK58" s="879">
        <f>IF(J58=0,0,M58/J58)</f>
        <v>3.6248529411764703</v>
      </c>
      <c r="AL58" s="452" t="str">
        <f t="shared" si="25"/>
        <v>Kg</v>
      </c>
      <c r="AM58" s="1030">
        <f t="shared" si="37"/>
        <v>28.998823529411762</v>
      </c>
      <c r="AP58" s="1136" t="s">
        <v>414</v>
      </c>
      <c r="AQ58" s="1136" t="s">
        <v>4</v>
      </c>
      <c r="AR58" s="1136" t="s">
        <v>465</v>
      </c>
      <c r="AS58" s="1136" t="s">
        <v>29</v>
      </c>
      <c r="AT58" s="1162">
        <v>120.0347238095238</v>
      </c>
      <c r="BD58" s="1120" t="str">
        <f t="shared" si="21"/>
        <v>02</v>
      </c>
      <c r="BE58" s="1121" t="str">
        <f t="shared" si="22"/>
        <v>03</v>
      </c>
      <c r="BF58" s="1121" t="str">
        <f t="shared" si="22"/>
        <v>413020103</v>
      </c>
      <c r="BG58" s="1122" t="str">
        <f t="shared" si="38"/>
        <v>Midle Drum</v>
      </c>
      <c r="BH58" s="1122">
        <f t="shared" si="39"/>
        <v>1</v>
      </c>
      <c r="BI58" s="1123">
        <f t="shared" si="40"/>
        <v>1</v>
      </c>
      <c r="BO58" s="1128" t="str">
        <f t="shared" si="32"/>
        <v>ورق گالوانیزه 1000*2</v>
      </c>
      <c r="BP58" s="1129" t="str">
        <f t="shared" si="33"/>
        <v>H.D.G</v>
      </c>
      <c r="BQ58" s="1122" t="str">
        <f t="shared" si="34"/>
        <v>Kg</v>
      </c>
      <c r="BR58" s="1122" t="str">
        <f t="shared" si="35"/>
        <v>000140200100</v>
      </c>
      <c r="BS58" s="1163">
        <f t="shared" si="36"/>
        <v>120.0347238095238</v>
      </c>
    </row>
    <row r="59" spans="1:71" ht="15" x14ac:dyDescent="0.2">
      <c r="A59" s="1171">
        <v>52</v>
      </c>
      <c r="B59" s="122" t="s">
        <v>175</v>
      </c>
      <c r="C59" s="114" t="s">
        <v>155</v>
      </c>
      <c r="D59" s="115" t="s">
        <v>122</v>
      </c>
      <c r="E59" s="115" t="s">
        <v>3</v>
      </c>
      <c r="F59" s="115" t="s">
        <v>4</v>
      </c>
      <c r="G59" s="114">
        <v>2</v>
      </c>
      <c r="H59" s="114">
        <v>67</v>
      </c>
      <c r="I59" s="114">
        <v>1800</v>
      </c>
      <c r="J59" s="114">
        <f>J57/2</f>
        <v>4</v>
      </c>
      <c r="K59" s="114" t="s">
        <v>29</v>
      </c>
      <c r="L59" s="116">
        <f>J59*G59*H59*I59*7.85/1000000</f>
        <v>7.5736800000000004</v>
      </c>
      <c r="M59" s="116">
        <f>((((1000-(INT(1000/H59)*H59))/(INT(1000/H59)))+H59)*G59*I59*J59*7.85)/1000000</f>
        <v>8.0742857142857147</v>
      </c>
      <c r="N59" s="128">
        <f t="shared" si="46"/>
        <v>6.6098081023454158E-2</v>
      </c>
      <c r="O59" s="641"/>
      <c r="P59" s="447">
        <f t="shared" si="11"/>
        <v>413</v>
      </c>
      <c r="Q59" s="448" t="s">
        <v>35</v>
      </c>
      <c r="R59" s="449" t="str">
        <f t="shared" si="12"/>
        <v>Midle Drum</v>
      </c>
      <c r="S59" s="449">
        <v>1</v>
      </c>
      <c r="T59" s="448" t="s">
        <v>34</v>
      </c>
      <c r="U59" s="449" t="str">
        <f t="shared" si="13"/>
        <v>بدنه</v>
      </c>
      <c r="V59" s="679">
        <v>1</v>
      </c>
      <c r="W59" s="609" t="s">
        <v>37</v>
      </c>
      <c r="X59" s="450" t="str">
        <f t="shared" si="14"/>
        <v>413020104</v>
      </c>
      <c r="Y59" s="451" t="str">
        <f t="shared" si="15"/>
        <v>ناودانی تقویتی</v>
      </c>
      <c r="Z59" s="679" t="s">
        <v>339</v>
      </c>
      <c r="AA59" s="452">
        <f t="shared" si="16"/>
        <v>4</v>
      </c>
      <c r="AB59" s="647">
        <f t="shared" si="5"/>
        <v>4</v>
      </c>
      <c r="AC59" s="922">
        <f t="shared" si="6"/>
        <v>4</v>
      </c>
      <c r="AD59" s="10"/>
      <c r="AE59" s="757" t="str">
        <f t="shared" si="17"/>
        <v>413020104</v>
      </c>
      <c r="AF59" s="758" t="str">
        <f t="shared" si="18"/>
        <v>ناودانی تقویتی</v>
      </c>
      <c r="AG59" s="452" t="str">
        <f t="shared" si="19"/>
        <v>Plate</v>
      </c>
      <c r="AH59" s="452" t="str">
        <f>F59</f>
        <v>H.D.G</v>
      </c>
      <c r="AI59" s="679" t="s">
        <v>414</v>
      </c>
      <c r="AJ59" s="832" t="s">
        <v>465</v>
      </c>
      <c r="AK59" s="879">
        <f>IF(J59=0,0,M59/J59)</f>
        <v>2.0185714285714287</v>
      </c>
      <c r="AL59" s="452" t="str">
        <f t="shared" si="25"/>
        <v>Kg</v>
      </c>
      <c r="AM59" s="1030">
        <f t="shared" si="37"/>
        <v>8.0742857142857147</v>
      </c>
      <c r="AN59" s="10"/>
      <c r="AP59" s="1136" t="s">
        <v>440</v>
      </c>
      <c r="AQ59" s="1136" t="s">
        <v>520</v>
      </c>
      <c r="AR59" s="1136" t="s">
        <v>394</v>
      </c>
      <c r="AS59" s="1136" t="s">
        <v>30</v>
      </c>
      <c r="AT59" s="1162">
        <v>2</v>
      </c>
      <c r="BD59" s="1120" t="str">
        <f t="shared" si="21"/>
        <v>02</v>
      </c>
      <c r="BE59" s="1121" t="str">
        <f t="shared" si="22"/>
        <v>04</v>
      </c>
      <c r="BF59" s="1121" t="str">
        <f t="shared" si="22"/>
        <v>413020104</v>
      </c>
      <c r="BG59" s="1122" t="str">
        <f t="shared" si="38"/>
        <v>Midle Drum</v>
      </c>
      <c r="BH59" s="1122">
        <f t="shared" si="39"/>
        <v>1</v>
      </c>
      <c r="BI59" s="1123">
        <f t="shared" si="40"/>
        <v>1</v>
      </c>
      <c r="BO59" s="1128" t="str">
        <f t="shared" si="32"/>
        <v xml:space="preserve">یاتاقان بلبرینگ پایه دار UCP212 </v>
      </c>
      <c r="BP59" s="1129" t="str">
        <f t="shared" si="33"/>
        <v>UCP-212</v>
      </c>
      <c r="BQ59" s="1122" t="str">
        <f t="shared" si="34"/>
        <v>Pcs</v>
      </c>
      <c r="BR59" s="1122" t="str">
        <f t="shared" si="35"/>
        <v>000200500060</v>
      </c>
      <c r="BS59" s="1163">
        <f t="shared" si="36"/>
        <v>2</v>
      </c>
    </row>
    <row r="60" spans="1:71" ht="15" x14ac:dyDescent="0.2">
      <c r="A60" s="1171">
        <v>53</v>
      </c>
      <c r="B60" s="122" t="s">
        <v>175</v>
      </c>
      <c r="C60" s="114" t="s">
        <v>155</v>
      </c>
      <c r="D60" s="115" t="s">
        <v>123</v>
      </c>
      <c r="E60" s="115" t="s">
        <v>8</v>
      </c>
      <c r="F60" s="115" t="s">
        <v>26</v>
      </c>
      <c r="G60" s="114">
        <v>5.6</v>
      </c>
      <c r="H60" s="114" t="s">
        <v>10</v>
      </c>
      <c r="I60" s="114" t="s">
        <v>20</v>
      </c>
      <c r="J60" s="114">
        <f>11*J59</f>
        <v>44</v>
      </c>
      <c r="K60" s="114" t="s">
        <v>30</v>
      </c>
      <c r="L60" s="114">
        <f>J60</f>
        <v>44</v>
      </c>
      <c r="M60" s="117">
        <f>J60</f>
        <v>44</v>
      </c>
      <c r="N60" s="128">
        <f t="shared" si="46"/>
        <v>0</v>
      </c>
      <c r="O60" s="641"/>
      <c r="P60" s="447">
        <f t="shared" si="11"/>
        <v>413</v>
      </c>
      <c r="Q60" s="448" t="s">
        <v>35</v>
      </c>
      <c r="R60" s="449" t="str">
        <f t="shared" si="12"/>
        <v>Midle Drum</v>
      </c>
      <c r="S60" s="449">
        <v>1</v>
      </c>
      <c r="T60" s="448" t="s">
        <v>34</v>
      </c>
      <c r="U60" s="449" t="str">
        <f t="shared" si="13"/>
        <v>بدنه</v>
      </c>
      <c r="V60" s="679">
        <v>1</v>
      </c>
      <c r="W60" s="609" t="s">
        <v>38</v>
      </c>
      <c r="X60" s="450" t="str">
        <f t="shared" si="14"/>
        <v>413020105</v>
      </c>
      <c r="Y60" s="451" t="str">
        <f t="shared" si="15"/>
        <v>پیچ اتصال کپه ها</v>
      </c>
      <c r="Z60" s="679" t="s">
        <v>26</v>
      </c>
      <c r="AA60" s="452">
        <f t="shared" si="16"/>
        <v>44</v>
      </c>
      <c r="AB60" s="647">
        <f t="shared" si="5"/>
        <v>44</v>
      </c>
      <c r="AC60" s="922">
        <f t="shared" si="6"/>
        <v>44</v>
      </c>
      <c r="AD60" s="10"/>
      <c r="AE60" s="757" t="str">
        <f t="shared" si="17"/>
        <v>413020105</v>
      </c>
      <c r="AF60" s="758" t="str">
        <f t="shared" si="18"/>
        <v>پیچ اتصال کپه ها</v>
      </c>
      <c r="AG60" s="452" t="str">
        <f t="shared" si="19"/>
        <v>Hex Bolt</v>
      </c>
      <c r="AH60" s="452" t="str">
        <f t="shared" si="26"/>
        <v>M8x20-5.6-Electroplated-Din 933</v>
      </c>
      <c r="AI60" s="679" t="s">
        <v>415</v>
      </c>
      <c r="AJ60" s="833" t="s">
        <v>109</v>
      </c>
      <c r="AK60" s="879" t="s">
        <v>484</v>
      </c>
      <c r="AL60" s="452" t="str">
        <f t="shared" si="25"/>
        <v>Pcs</v>
      </c>
      <c r="AM60" s="1030">
        <f t="shared" si="37"/>
        <v>44</v>
      </c>
      <c r="AP60" s="1136" t="s">
        <v>521</v>
      </c>
      <c r="AQ60" s="1136" t="s">
        <v>512</v>
      </c>
      <c r="AR60" s="1136" t="s">
        <v>522</v>
      </c>
      <c r="AS60" s="1136" t="s">
        <v>30</v>
      </c>
      <c r="AT60" s="1162">
        <v>1</v>
      </c>
      <c r="BD60" s="1120" t="str">
        <f t="shared" si="21"/>
        <v>02</v>
      </c>
      <c r="BE60" s="1121" t="str">
        <f t="shared" si="22"/>
        <v>05</v>
      </c>
      <c r="BF60" s="1121" t="str">
        <f t="shared" si="22"/>
        <v>413020105</v>
      </c>
      <c r="BG60" s="1122" t="str">
        <f t="shared" si="38"/>
        <v>Midle Drum</v>
      </c>
      <c r="BH60" s="1122">
        <f t="shared" si="39"/>
        <v>1</v>
      </c>
      <c r="BI60" s="1123">
        <f t="shared" si="40"/>
        <v>1</v>
      </c>
      <c r="BO60" s="1128" t="str">
        <f t="shared" si="32"/>
        <v>مهره دنده درشت M12</v>
      </c>
      <c r="BP60" s="1129" t="str">
        <f t="shared" si="33"/>
        <v>M12-5-Electroplated-Din 934</v>
      </c>
      <c r="BQ60" s="1122" t="str">
        <f t="shared" si="34"/>
        <v>Pcs</v>
      </c>
      <c r="BR60" s="1122" t="str">
        <f t="shared" si="35"/>
        <v>000012010012</v>
      </c>
      <c r="BS60" s="1163">
        <f t="shared" si="36"/>
        <v>1</v>
      </c>
    </row>
    <row r="61" spans="1:71" ht="15" x14ac:dyDescent="0.2">
      <c r="A61" s="1171">
        <v>54</v>
      </c>
      <c r="B61" s="122" t="s">
        <v>175</v>
      </c>
      <c r="C61" s="114" t="s">
        <v>155</v>
      </c>
      <c r="D61" s="115" t="s">
        <v>124</v>
      </c>
      <c r="E61" s="115" t="s">
        <v>9</v>
      </c>
      <c r="F61" s="115" t="s">
        <v>5</v>
      </c>
      <c r="G61" s="114">
        <v>5</v>
      </c>
      <c r="H61" s="114" t="s">
        <v>10</v>
      </c>
      <c r="I61" s="114" t="s">
        <v>21</v>
      </c>
      <c r="J61" s="114">
        <f>J60</f>
        <v>44</v>
      </c>
      <c r="K61" s="114" t="s">
        <v>30</v>
      </c>
      <c r="L61" s="114">
        <f>J61</f>
        <v>44</v>
      </c>
      <c r="M61" s="117">
        <f>J61</f>
        <v>44</v>
      </c>
      <c r="N61" s="128">
        <f t="shared" si="46"/>
        <v>0</v>
      </c>
      <c r="O61" s="641"/>
      <c r="P61" s="447">
        <f t="shared" si="11"/>
        <v>413</v>
      </c>
      <c r="Q61" s="448" t="s">
        <v>35</v>
      </c>
      <c r="R61" s="449" t="str">
        <f t="shared" si="12"/>
        <v>Midle Drum</v>
      </c>
      <c r="S61" s="449">
        <v>1</v>
      </c>
      <c r="T61" s="448" t="s">
        <v>34</v>
      </c>
      <c r="U61" s="449" t="str">
        <f t="shared" si="13"/>
        <v>بدنه</v>
      </c>
      <c r="V61" s="679">
        <v>1</v>
      </c>
      <c r="W61" s="609" t="s">
        <v>39</v>
      </c>
      <c r="X61" s="450" t="str">
        <f t="shared" si="14"/>
        <v>413020106</v>
      </c>
      <c r="Y61" s="451" t="str">
        <f t="shared" si="15"/>
        <v>مهره اتصال کپه ها</v>
      </c>
      <c r="Z61" s="679" t="s">
        <v>5</v>
      </c>
      <c r="AA61" s="452">
        <f t="shared" si="16"/>
        <v>44</v>
      </c>
      <c r="AB61" s="647">
        <f t="shared" si="5"/>
        <v>44</v>
      </c>
      <c r="AC61" s="922">
        <f t="shared" si="6"/>
        <v>44</v>
      </c>
      <c r="AD61" s="10"/>
      <c r="AE61" s="757" t="str">
        <f t="shared" si="17"/>
        <v>413020106</v>
      </c>
      <c r="AF61" s="758" t="str">
        <f t="shared" si="18"/>
        <v>مهره اتصال کپه ها</v>
      </c>
      <c r="AG61" s="452" t="str">
        <f t="shared" si="19"/>
        <v>Hex Nut</v>
      </c>
      <c r="AH61" s="452" t="str">
        <f t="shared" si="26"/>
        <v>M6-5-Electroplated-Din 934</v>
      </c>
      <c r="AI61" s="679" t="s">
        <v>424</v>
      </c>
      <c r="AJ61" s="833" t="s">
        <v>104</v>
      </c>
      <c r="AK61" s="879" t="s">
        <v>484</v>
      </c>
      <c r="AL61" s="452" t="str">
        <f t="shared" si="25"/>
        <v>Pcs</v>
      </c>
      <c r="AM61" s="1030">
        <f t="shared" si="37"/>
        <v>44</v>
      </c>
      <c r="AN61" s="10"/>
      <c r="AP61" s="1136" t="s">
        <v>525</v>
      </c>
      <c r="AQ61" s="1136" t="s">
        <v>507</v>
      </c>
      <c r="AR61" s="1136" t="s">
        <v>401</v>
      </c>
      <c r="AS61" s="1136" t="s">
        <v>30</v>
      </c>
      <c r="AT61" s="1162">
        <v>10</v>
      </c>
      <c r="BD61" s="1120" t="str">
        <f t="shared" si="21"/>
        <v>02</v>
      </c>
      <c r="BE61" s="1121" t="str">
        <f t="shared" si="22"/>
        <v>06</v>
      </c>
      <c r="BF61" s="1121" t="str">
        <f t="shared" si="22"/>
        <v>413020106</v>
      </c>
      <c r="BG61" s="1122" t="str">
        <f t="shared" si="38"/>
        <v>Midle Drum</v>
      </c>
      <c r="BH61" s="1122">
        <f t="shared" si="39"/>
        <v>1</v>
      </c>
      <c r="BI61" s="1123">
        <f t="shared" si="40"/>
        <v>1</v>
      </c>
      <c r="BO61" s="1128" t="str">
        <f t="shared" si="32"/>
        <v>پیچ تمام حدیده M8*80</v>
      </c>
      <c r="BP61" s="1129" t="str">
        <f t="shared" si="33"/>
        <v>M8x80-5.6-Electroplated-Din 933</v>
      </c>
      <c r="BQ61" s="1122" t="str">
        <f t="shared" si="34"/>
        <v>Pcs</v>
      </c>
      <c r="BR61" s="1122" t="str">
        <f t="shared" si="35"/>
        <v>000013060880</v>
      </c>
      <c r="BS61" s="1163">
        <f t="shared" si="36"/>
        <v>10</v>
      </c>
    </row>
    <row r="62" spans="1:71" ht="15.75" thickBot="1" x14ac:dyDescent="0.25">
      <c r="A62" s="1174">
        <v>55</v>
      </c>
      <c r="B62" s="294" t="s">
        <v>175</v>
      </c>
      <c r="C62" s="295" t="s">
        <v>155</v>
      </c>
      <c r="D62" s="296" t="s">
        <v>125</v>
      </c>
      <c r="E62" s="296" t="s">
        <v>18</v>
      </c>
      <c r="F62" s="296" t="s">
        <v>28</v>
      </c>
      <c r="G62" s="295" t="s">
        <v>24</v>
      </c>
      <c r="H62" s="295" t="s">
        <v>10</v>
      </c>
      <c r="I62" s="295" t="s">
        <v>22</v>
      </c>
      <c r="J62" s="295">
        <f>J61</f>
        <v>44</v>
      </c>
      <c r="K62" s="295" t="s">
        <v>30</v>
      </c>
      <c r="L62" s="295">
        <f>J62</f>
        <v>44</v>
      </c>
      <c r="M62" s="297">
        <f>J62</f>
        <v>44</v>
      </c>
      <c r="N62" s="298">
        <f t="shared" si="46"/>
        <v>0</v>
      </c>
      <c r="O62" s="641"/>
      <c r="P62" s="465">
        <f t="shared" si="11"/>
        <v>413</v>
      </c>
      <c r="Q62" s="466" t="s">
        <v>35</v>
      </c>
      <c r="R62" s="467" t="str">
        <f t="shared" si="12"/>
        <v>Midle Drum</v>
      </c>
      <c r="S62" s="467">
        <v>1</v>
      </c>
      <c r="T62" s="466" t="s">
        <v>34</v>
      </c>
      <c r="U62" s="467" t="str">
        <f t="shared" si="13"/>
        <v>بدنه</v>
      </c>
      <c r="V62" s="680">
        <v>1</v>
      </c>
      <c r="W62" s="609" t="s">
        <v>40</v>
      </c>
      <c r="X62" s="468" t="str">
        <f t="shared" si="14"/>
        <v>413020107</v>
      </c>
      <c r="Y62" s="469" t="str">
        <f t="shared" si="15"/>
        <v>واشر فنری اتصال کپه ها</v>
      </c>
      <c r="Z62" s="680" t="s">
        <v>28</v>
      </c>
      <c r="AA62" s="470">
        <f t="shared" si="16"/>
        <v>44</v>
      </c>
      <c r="AB62" s="648">
        <f t="shared" si="5"/>
        <v>44</v>
      </c>
      <c r="AC62" s="923">
        <f t="shared" si="6"/>
        <v>44</v>
      </c>
      <c r="AD62" s="10"/>
      <c r="AE62" s="759" t="str">
        <f t="shared" si="17"/>
        <v>413020107</v>
      </c>
      <c r="AF62" s="760" t="str">
        <f t="shared" si="18"/>
        <v>واشر فنری اتصال کپه ها</v>
      </c>
      <c r="AG62" s="470" t="str">
        <f t="shared" si="19"/>
        <v>Spring Washer</v>
      </c>
      <c r="AH62" s="470" t="str">
        <f t="shared" si="26"/>
        <v>A8-F-Electroplated-Din 127</v>
      </c>
      <c r="AI62" s="680" t="s">
        <v>417</v>
      </c>
      <c r="AJ62" s="834" t="s">
        <v>384</v>
      </c>
      <c r="AK62" s="880" t="s">
        <v>484</v>
      </c>
      <c r="AL62" s="470" t="str">
        <f t="shared" si="25"/>
        <v>Pcs</v>
      </c>
      <c r="AM62" s="1031">
        <f t="shared" si="37"/>
        <v>44</v>
      </c>
      <c r="AP62" s="1136" t="s">
        <v>526</v>
      </c>
      <c r="AQ62" s="1136" t="s">
        <v>2</v>
      </c>
      <c r="AR62" s="1136" t="s">
        <v>410</v>
      </c>
      <c r="AS62" s="1136" t="s">
        <v>30</v>
      </c>
      <c r="AT62" s="1162">
        <v>1</v>
      </c>
      <c r="BD62" s="1120" t="str">
        <f t="shared" si="21"/>
        <v>02</v>
      </c>
      <c r="BE62" s="1121" t="str">
        <f t="shared" si="22"/>
        <v>07</v>
      </c>
      <c r="BF62" s="1121" t="str">
        <f t="shared" si="22"/>
        <v>413020107</v>
      </c>
      <c r="BG62" s="1122" t="str">
        <f t="shared" si="38"/>
        <v>Midle Drum</v>
      </c>
      <c r="BH62" s="1122">
        <f t="shared" si="39"/>
        <v>1</v>
      </c>
      <c r="BI62" s="1123">
        <f t="shared" si="40"/>
        <v>1</v>
      </c>
      <c r="BO62" s="1130" t="str">
        <f t="shared" si="32"/>
        <v>تسمه سبز روتاری2000</v>
      </c>
      <c r="BP62" s="1131" t="str">
        <f t="shared" si="33"/>
        <v>-</v>
      </c>
      <c r="BQ62" s="1126" t="str">
        <f t="shared" si="34"/>
        <v>Pcs</v>
      </c>
      <c r="BR62" s="1126" t="str">
        <f t="shared" si="35"/>
        <v>000952011500</v>
      </c>
      <c r="BS62" s="1164">
        <f t="shared" si="36"/>
        <v>1</v>
      </c>
    </row>
    <row r="63" spans="1:71" ht="15" x14ac:dyDescent="0.2">
      <c r="A63" s="1170">
        <v>56</v>
      </c>
      <c r="B63" s="133" t="s">
        <v>175</v>
      </c>
      <c r="C63" s="134" t="s">
        <v>126</v>
      </c>
      <c r="D63" s="135" t="s">
        <v>127</v>
      </c>
      <c r="E63" s="135" t="s">
        <v>128</v>
      </c>
      <c r="F63" s="135" t="s">
        <v>232</v>
      </c>
      <c r="G63" s="134" t="s">
        <v>2</v>
      </c>
      <c r="H63" s="134" t="s">
        <v>2</v>
      </c>
      <c r="I63" s="134">
        <v>1700</v>
      </c>
      <c r="J63" s="134">
        <f>IF(E2=3400,0,J59)</f>
        <v>4</v>
      </c>
      <c r="K63" s="134" t="s">
        <v>30</v>
      </c>
      <c r="L63" s="134">
        <f>J63</f>
        <v>4</v>
      </c>
      <c r="M63" s="136">
        <f>J63</f>
        <v>4</v>
      </c>
      <c r="N63" s="137">
        <f t="shared" si="46"/>
        <v>0</v>
      </c>
      <c r="O63" s="641"/>
      <c r="P63" s="453">
        <f t="shared" si="11"/>
        <v>413</v>
      </c>
      <c r="Q63" s="454" t="s">
        <v>35</v>
      </c>
      <c r="R63" s="455" t="str">
        <f t="shared" si="12"/>
        <v>Midle Drum</v>
      </c>
      <c r="S63" s="455">
        <v>1</v>
      </c>
      <c r="T63" s="454" t="s">
        <v>35</v>
      </c>
      <c r="U63" s="455" t="str">
        <f t="shared" si="13"/>
        <v>نوار خاردار</v>
      </c>
      <c r="V63" s="681">
        <v>1</v>
      </c>
      <c r="W63" s="636" t="s">
        <v>34</v>
      </c>
      <c r="X63" s="456" t="str">
        <f t="shared" si="14"/>
        <v>413020201</v>
      </c>
      <c r="Y63" s="457" t="str">
        <f t="shared" si="15"/>
        <v>تسمه نوار خاردار</v>
      </c>
      <c r="Z63" s="681" t="s">
        <v>341</v>
      </c>
      <c r="AA63" s="458">
        <f t="shared" si="16"/>
        <v>4</v>
      </c>
      <c r="AB63" s="649">
        <f t="shared" si="5"/>
        <v>4</v>
      </c>
      <c r="AC63" s="924">
        <f t="shared" si="6"/>
        <v>4</v>
      </c>
      <c r="AD63" s="10"/>
      <c r="AE63" s="751" t="str">
        <f t="shared" si="17"/>
        <v>413020201</v>
      </c>
      <c r="AF63" s="752" t="str">
        <f t="shared" si="18"/>
        <v>تسمه نوار خاردار</v>
      </c>
      <c r="AG63" s="458" t="str">
        <f t="shared" si="19"/>
        <v>Flat Bar</v>
      </c>
      <c r="AH63" s="458" t="str">
        <f>F63</f>
        <v>A-36</v>
      </c>
      <c r="AI63" s="1146" t="s">
        <v>498</v>
      </c>
      <c r="AJ63" s="1143" t="s">
        <v>466</v>
      </c>
      <c r="AK63" s="881" t="s">
        <v>484</v>
      </c>
      <c r="AL63" s="458" t="str">
        <f t="shared" si="25"/>
        <v>Pcs</v>
      </c>
      <c r="AM63" s="1032">
        <f t="shared" si="37"/>
        <v>4</v>
      </c>
      <c r="AN63" s="10"/>
      <c r="AP63" s="1136" t="s">
        <v>84</v>
      </c>
      <c r="AQ63" s="1136"/>
      <c r="AR63" s="1136"/>
      <c r="AS63" s="1136"/>
      <c r="AT63" s="1162">
        <v>11580.971520768158</v>
      </c>
      <c r="BD63" s="1120" t="str">
        <f t="shared" si="21"/>
        <v>02</v>
      </c>
      <c r="BE63" s="1121" t="str">
        <f t="shared" si="22"/>
        <v>01</v>
      </c>
      <c r="BF63" s="1121" t="str">
        <f t="shared" si="22"/>
        <v>413020201</v>
      </c>
      <c r="BG63" s="1122" t="str">
        <f t="shared" si="38"/>
        <v>Midle Drum</v>
      </c>
      <c r="BH63" s="1122">
        <f t="shared" si="39"/>
        <v>1</v>
      </c>
      <c r="BI63" s="1123">
        <f t="shared" si="40"/>
        <v>1</v>
      </c>
    </row>
    <row r="64" spans="1:71" ht="15" x14ac:dyDescent="0.25">
      <c r="A64" s="1179">
        <v>57</v>
      </c>
      <c r="B64" s="138" t="s">
        <v>175</v>
      </c>
      <c r="C64" s="118" t="s">
        <v>126</v>
      </c>
      <c r="D64" s="119" t="s">
        <v>129</v>
      </c>
      <c r="E64" s="119" t="s">
        <v>3</v>
      </c>
      <c r="F64" s="119" t="s">
        <v>527</v>
      </c>
      <c r="G64" s="118">
        <v>1.5</v>
      </c>
      <c r="H64" s="118">
        <v>30</v>
      </c>
      <c r="I64" s="118">
        <v>1700</v>
      </c>
      <c r="J64" s="118">
        <f>J63</f>
        <v>4</v>
      </c>
      <c r="K64" s="118" t="s">
        <v>29</v>
      </c>
      <c r="L64" s="120">
        <f>G64*H64*I64*J64*7.85/1000000</f>
        <v>2.4020999999999999</v>
      </c>
      <c r="M64" s="121">
        <f>((((1000-(INT(1000/H64)*H64))/(INT(1000/H64)))+H64)*G64*I64*J64*7.85)/1000000</f>
        <v>2.4263636363636363</v>
      </c>
      <c r="N64" s="139">
        <f t="shared" si="46"/>
        <v>1.0101010101010107E-2</v>
      </c>
      <c r="O64" s="641"/>
      <c r="P64" s="459">
        <f t="shared" si="11"/>
        <v>413</v>
      </c>
      <c r="Q64" s="460" t="s">
        <v>35</v>
      </c>
      <c r="R64" s="461" t="str">
        <f t="shared" si="12"/>
        <v>Midle Drum</v>
      </c>
      <c r="S64" s="461">
        <v>1</v>
      </c>
      <c r="T64" s="460" t="s">
        <v>35</v>
      </c>
      <c r="U64" s="461" t="str">
        <f t="shared" si="13"/>
        <v>نوار خاردار</v>
      </c>
      <c r="V64" s="682">
        <v>1</v>
      </c>
      <c r="W64" s="637" t="s">
        <v>35</v>
      </c>
      <c r="X64" s="462" t="str">
        <f t="shared" si="14"/>
        <v>413020202</v>
      </c>
      <c r="Y64" s="463" t="str">
        <f t="shared" si="15"/>
        <v>صفحه زیر نوار خاردار</v>
      </c>
      <c r="Z64" s="682" t="s">
        <v>342</v>
      </c>
      <c r="AA64" s="464">
        <f t="shared" si="16"/>
        <v>4</v>
      </c>
      <c r="AB64" s="650">
        <f t="shared" si="5"/>
        <v>4</v>
      </c>
      <c r="AC64" s="925">
        <f t="shared" si="6"/>
        <v>4</v>
      </c>
      <c r="AD64" s="10"/>
      <c r="AE64" s="753" t="str">
        <f t="shared" si="17"/>
        <v>413020202</v>
      </c>
      <c r="AF64" s="754" t="str">
        <f t="shared" si="18"/>
        <v>صفحه زیر نوار خاردار</v>
      </c>
      <c r="AG64" s="464" t="str">
        <f t="shared" si="19"/>
        <v>Plate</v>
      </c>
      <c r="AH64" s="464" t="str">
        <f>F64</f>
        <v>St-12</v>
      </c>
      <c r="AI64" s="682" t="s">
        <v>412</v>
      </c>
      <c r="AJ64" s="835" t="s">
        <v>463</v>
      </c>
      <c r="AK64" s="882">
        <f>IF(E2=3400,0,M64/J64)</f>
        <v>0.60659090909090907</v>
      </c>
      <c r="AL64" s="464" t="str">
        <f t="shared" si="25"/>
        <v>Kg</v>
      </c>
      <c r="AM64" s="1033">
        <f t="shared" si="37"/>
        <v>2.4263636363636363</v>
      </c>
      <c r="AP64"/>
      <c r="AQ64"/>
      <c r="AR64"/>
      <c r="AS64"/>
      <c r="AT64"/>
      <c r="BD64" s="1120" t="str">
        <f t="shared" si="21"/>
        <v>02</v>
      </c>
      <c r="BE64" s="1121" t="str">
        <f t="shared" si="22"/>
        <v>02</v>
      </c>
      <c r="BF64" s="1121" t="str">
        <f t="shared" si="22"/>
        <v>413020202</v>
      </c>
      <c r="BG64" s="1122" t="str">
        <f t="shared" si="38"/>
        <v>Midle Drum</v>
      </c>
      <c r="BH64" s="1122">
        <f t="shared" si="39"/>
        <v>1</v>
      </c>
      <c r="BI64" s="1123">
        <f t="shared" si="40"/>
        <v>1</v>
      </c>
    </row>
    <row r="65" spans="1:67" ht="15" x14ac:dyDescent="0.25">
      <c r="A65" s="1179">
        <v>58</v>
      </c>
      <c r="B65" s="138" t="s">
        <v>175</v>
      </c>
      <c r="C65" s="118" t="s">
        <v>126</v>
      </c>
      <c r="D65" s="119" t="s">
        <v>130</v>
      </c>
      <c r="E65" s="119" t="s">
        <v>131</v>
      </c>
      <c r="F65" s="119" t="s">
        <v>132</v>
      </c>
      <c r="G65" s="118">
        <v>5.6</v>
      </c>
      <c r="H65" s="118" t="s">
        <v>10</v>
      </c>
      <c r="I65" s="118" t="s">
        <v>529</v>
      </c>
      <c r="J65" s="118">
        <f>J64*7</f>
        <v>28</v>
      </c>
      <c r="K65" s="118" t="s">
        <v>30</v>
      </c>
      <c r="L65" s="118">
        <f>J65</f>
        <v>28</v>
      </c>
      <c r="M65" s="121">
        <f>J65</f>
        <v>28</v>
      </c>
      <c r="N65" s="139">
        <f t="shared" si="46"/>
        <v>0</v>
      </c>
      <c r="O65" s="641"/>
      <c r="P65" s="459">
        <f t="shared" si="11"/>
        <v>413</v>
      </c>
      <c r="Q65" s="460" t="s">
        <v>35</v>
      </c>
      <c r="R65" s="461" t="str">
        <f t="shared" si="12"/>
        <v>Midle Drum</v>
      </c>
      <c r="S65" s="461">
        <v>1</v>
      </c>
      <c r="T65" s="460" t="s">
        <v>35</v>
      </c>
      <c r="U65" s="461" t="str">
        <f t="shared" si="13"/>
        <v>نوار خاردار</v>
      </c>
      <c r="V65" s="682">
        <v>1</v>
      </c>
      <c r="W65" s="637" t="s">
        <v>36</v>
      </c>
      <c r="X65" s="462" t="str">
        <f t="shared" si="14"/>
        <v>413020203</v>
      </c>
      <c r="Y65" s="463" t="str">
        <f t="shared" si="15"/>
        <v>پیچ ورشو نوار خاردار</v>
      </c>
      <c r="Z65" s="682" t="s">
        <v>343</v>
      </c>
      <c r="AA65" s="464">
        <f t="shared" si="16"/>
        <v>28</v>
      </c>
      <c r="AB65" s="650">
        <f t="shared" si="5"/>
        <v>28</v>
      </c>
      <c r="AC65" s="925">
        <f t="shared" si="6"/>
        <v>28</v>
      </c>
      <c r="AD65" s="10"/>
      <c r="AE65" s="753" t="str">
        <f t="shared" si="17"/>
        <v>413020203</v>
      </c>
      <c r="AF65" s="754" t="str">
        <f t="shared" si="18"/>
        <v>پیچ ورشو نوار خاردار</v>
      </c>
      <c r="AG65" s="464" t="str">
        <f t="shared" si="19"/>
        <v>Self Threaded Bolt</v>
      </c>
      <c r="AH65" s="464" t="str">
        <f t="shared" si="26"/>
        <v>M1/4"x30-5.6-Electroplated-Din 7972</v>
      </c>
      <c r="AI65" s="682" t="s">
        <v>418</v>
      </c>
      <c r="AJ65" s="836" t="s">
        <v>385</v>
      </c>
      <c r="AK65" s="882" t="s">
        <v>484</v>
      </c>
      <c r="AL65" s="464" t="str">
        <f t="shared" si="25"/>
        <v>Pcs</v>
      </c>
      <c r="AM65" s="1033">
        <f t="shared" si="37"/>
        <v>28</v>
      </c>
      <c r="AN65" s="10"/>
      <c r="AP65"/>
      <c r="AQ65"/>
      <c r="AR65"/>
      <c r="AS65"/>
      <c r="AT65"/>
      <c r="BD65" s="1120" t="str">
        <f t="shared" si="21"/>
        <v>02</v>
      </c>
      <c r="BE65" s="1121" t="str">
        <f t="shared" si="22"/>
        <v>03</v>
      </c>
      <c r="BF65" s="1121" t="str">
        <f t="shared" si="22"/>
        <v>413020203</v>
      </c>
      <c r="BG65" s="1122" t="str">
        <f t="shared" si="38"/>
        <v>Midle Drum</v>
      </c>
      <c r="BH65" s="1122">
        <f t="shared" si="39"/>
        <v>1</v>
      </c>
      <c r="BI65" s="1123">
        <f t="shared" si="40"/>
        <v>1</v>
      </c>
      <c r="BO65" s="1161"/>
    </row>
    <row r="66" spans="1:67" ht="15.75" thickBot="1" x14ac:dyDescent="0.3">
      <c r="A66" s="1174">
        <v>59</v>
      </c>
      <c r="B66" s="174" t="s">
        <v>175</v>
      </c>
      <c r="C66" s="175" t="s">
        <v>126</v>
      </c>
      <c r="D66" s="176" t="s">
        <v>134</v>
      </c>
      <c r="E66" s="176" t="s">
        <v>3</v>
      </c>
      <c r="F66" s="176" t="s">
        <v>4</v>
      </c>
      <c r="G66" s="175">
        <v>1.5</v>
      </c>
      <c r="H66" s="175">
        <v>100</v>
      </c>
      <c r="I66" s="175">
        <v>1700</v>
      </c>
      <c r="J66" s="175">
        <f>J63</f>
        <v>4</v>
      </c>
      <c r="K66" s="175" t="s">
        <v>29</v>
      </c>
      <c r="L66" s="177">
        <f>G66*H66*I66*J66*7.85/1000000</f>
        <v>8.0069999999999997</v>
      </c>
      <c r="M66" s="177">
        <f>((((1000-(INT(1000/H66)*H66))/(INT(1000/H66)))+H66)*G66*I66*J66*7.85)/1000000</f>
        <v>8.0069999999999997</v>
      </c>
      <c r="N66" s="178">
        <f t="shared" si="46"/>
        <v>0</v>
      </c>
      <c r="O66" s="641"/>
      <c r="P66" s="471">
        <f t="shared" si="11"/>
        <v>413</v>
      </c>
      <c r="Q66" s="472" t="s">
        <v>35</v>
      </c>
      <c r="R66" s="473" t="str">
        <f t="shared" si="12"/>
        <v>Midle Drum</v>
      </c>
      <c r="S66" s="473">
        <v>1</v>
      </c>
      <c r="T66" s="472" t="s">
        <v>35</v>
      </c>
      <c r="U66" s="473" t="str">
        <f t="shared" si="13"/>
        <v>نوار خاردار</v>
      </c>
      <c r="V66" s="683">
        <v>1</v>
      </c>
      <c r="W66" s="638" t="s">
        <v>37</v>
      </c>
      <c r="X66" s="474" t="str">
        <f t="shared" si="14"/>
        <v>413020204</v>
      </c>
      <c r="Y66" s="475" t="str">
        <f t="shared" si="15"/>
        <v>تسمه کلیدی</v>
      </c>
      <c r="Z66" s="683" t="s">
        <v>344</v>
      </c>
      <c r="AA66" s="476">
        <f t="shared" si="16"/>
        <v>4</v>
      </c>
      <c r="AB66" s="651">
        <f t="shared" si="5"/>
        <v>4</v>
      </c>
      <c r="AC66" s="926">
        <f t="shared" si="6"/>
        <v>4</v>
      </c>
      <c r="AD66" s="10"/>
      <c r="AE66" s="761" t="str">
        <f t="shared" si="17"/>
        <v>413020204</v>
      </c>
      <c r="AF66" s="762" t="str">
        <f t="shared" si="18"/>
        <v>تسمه کلیدی</v>
      </c>
      <c r="AG66" s="476" t="str">
        <f t="shared" si="19"/>
        <v>Plate</v>
      </c>
      <c r="AH66" s="476" t="str">
        <f>F66</f>
        <v>H.D.G</v>
      </c>
      <c r="AI66" s="683" t="s">
        <v>419</v>
      </c>
      <c r="AJ66" s="837" t="s">
        <v>467</v>
      </c>
      <c r="AK66" s="883" t="s">
        <v>484</v>
      </c>
      <c r="AL66" s="476" t="str">
        <f t="shared" si="25"/>
        <v>Kg</v>
      </c>
      <c r="AM66" s="1034">
        <f t="shared" si="37"/>
        <v>4</v>
      </c>
      <c r="AP66"/>
      <c r="AQ66"/>
      <c r="AR66"/>
      <c r="AS66"/>
      <c r="AT66"/>
      <c r="BD66" s="1120" t="str">
        <f t="shared" si="21"/>
        <v>02</v>
      </c>
      <c r="BE66" s="1121" t="str">
        <f t="shared" si="22"/>
        <v>04</v>
      </c>
      <c r="BF66" s="1121" t="str">
        <f t="shared" si="22"/>
        <v>413020204</v>
      </c>
      <c r="BG66" s="1122" t="str">
        <f t="shared" si="38"/>
        <v>Midle Drum</v>
      </c>
      <c r="BH66" s="1122">
        <f t="shared" si="39"/>
        <v>1</v>
      </c>
      <c r="BI66" s="1123">
        <f t="shared" si="40"/>
        <v>1</v>
      </c>
    </row>
    <row r="67" spans="1:67" ht="15" x14ac:dyDescent="0.25">
      <c r="A67" s="1170">
        <v>60</v>
      </c>
      <c r="B67" s="123" t="s">
        <v>175</v>
      </c>
      <c r="C67" s="124" t="s">
        <v>135</v>
      </c>
      <c r="D67" s="125" t="s">
        <v>135</v>
      </c>
      <c r="E67" s="125" t="s">
        <v>128</v>
      </c>
      <c r="F67" s="125" t="s">
        <v>4</v>
      </c>
      <c r="G67" s="124">
        <v>1</v>
      </c>
      <c r="H67" s="124">
        <v>32</v>
      </c>
      <c r="I67" s="124">
        <f>IF($E$1=1500,5000,IF($E$1=2000,6500,IF($E$1=2500,8000,9600)))</f>
        <v>6500</v>
      </c>
      <c r="J67" s="124">
        <f>IF(E2=3400,0,2)</f>
        <v>2</v>
      </c>
      <c r="K67" s="124" t="s">
        <v>29</v>
      </c>
      <c r="L67" s="126">
        <f>J67*G67*H67*I67*7.85/1000000</f>
        <v>3.2656000000000001</v>
      </c>
      <c r="M67" s="126">
        <f>((((1250-(INT(1250/H67)*H67))/(INT(1250/H67)))+H67)*G67*I67*J67*7.85)/1000000</f>
        <v>3.2708333333333335</v>
      </c>
      <c r="N67" s="127">
        <f t="shared" si="46"/>
        <v>1.60256410256413E-3</v>
      </c>
      <c r="O67" s="641"/>
      <c r="P67" s="441">
        <f t="shared" si="11"/>
        <v>413</v>
      </c>
      <c r="Q67" s="442" t="s">
        <v>35</v>
      </c>
      <c r="R67" s="443" t="str">
        <f t="shared" si="12"/>
        <v>Midle Drum</v>
      </c>
      <c r="S67" s="443">
        <v>1</v>
      </c>
      <c r="T67" s="608" t="s">
        <v>36</v>
      </c>
      <c r="U67" s="443" t="str">
        <f t="shared" si="13"/>
        <v>تسمه نوار عرضی</v>
      </c>
      <c r="V67" s="678">
        <v>1</v>
      </c>
      <c r="W67" s="608" t="s">
        <v>34</v>
      </c>
      <c r="X67" s="444" t="str">
        <f t="shared" si="14"/>
        <v>413020301</v>
      </c>
      <c r="Y67" s="445" t="str">
        <f t="shared" si="15"/>
        <v>تسمه نوار عرضی</v>
      </c>
      <c r="Z67" s="678" t="str">
        <f>"1"&amp;"x"&amp;"32"&amp;"x"&amp;I67</f>
        <v>1x32x6500</v>
      </c>
      <c r="AA67" s="446">
        <f t="shared" si="16"/>
        <v>2</v>
      </c>
      <c r="AB67" s="646">
        <f t="shared" si="5"/>
        <v>2</v>
      </c>
      <c r="AC67" s="921">
        <f t="shared" si="6"/>
        <v>2</v>
      </c>
      <c r="AE67" s="755" t="str">
        <f t="shared" si="17"/>
        <v>413020301</v>
      </c>
      <c r="AF67" s="756" t="str">
        <f t="shared" si="18"/>
        <v>تسمه نوار عرضی</v>
      </c>
      <c r="AG67" s="446" t="str">
        <f t="shared" si="19"/>
        <v>Flat Bar</v>
      </c>
      <c r="AH67" s="446" t="str">
        <f>F67</f>
        <v>H.D.G</v>
      </c>
      <c r="AI67" s="678" t="s">
        <v>420</v>
      </c>
      <c r="AJ67" s="831" t="s">
        <v>468</v>
      </c>
      <c r="AK67" s="878">
        <f>IF(E2=3400,0,M67/J67)</f>
        <v>1.6354166666666667</v>
      </c>
      <c r="AL67" s="446" t="str">
        <f t="shared" si="25"/>
        <v>Kg</v>
      </c>
      <c r="AM67" s="1029">
        <f t="shared" si="37"/>
        <v>3.2708333333333335</v>
      </c>
      <c r="AN67" s="10"/>
      <c r="AP67"/>
      <c r="AQ67"/>
      <c r="AR67"/>
      <c r="AS67"/>
      <c r="AT67"/>
      <c r="BD67" s="1120" t="str">
        <f t="shared" si="21"/>
        <v>02</v>
      </c>
      <c r="BE67" s="1121" t="str">
        <f t="shared" si="22"/>
        <v>01</v>
      </c>
      <c r="BF67" s="1121" t="str">
        <f t="shared" si="22"/>
        <v>413020301</v>
      </c>
      <c r="BG67" s="1122" t="str">
        <f t="shared" si="38"/>
        <v>Midle Drum</v>
      </c>
      <c r="BH67" s="1122">
        <f t="shared" si="39"/>
        <v>1</v>
      </c>
      <c r="BI67" s="1123">
        <f t="shared" si="40"/>
        <v>1</v>
      </c>
    </row>
    <row r="68" spans="1:67" ht="15" x14ac:dyDescent="0.25">
      <c r="A68" s="1188">
        <v>61</v>
      </c>
      <c r="B68" s="122" t="s">
        <v>175</v>
      </c>
      <c r="C68" s="114" t="s">
        <v>135</v>
      </c>
      <c r="D68" s="115" t="s">
        <v>136</v>
      </c>
      <c r="E68" s="115" t="s">
        <v>137</v>
      </c>
      <c r="F68" s="115" t="s">
        <v>232</v>
      </c>
      <c r="G68" s="114">
        <v>3</v>
      </c>
      <c r="H68" s="114">
        <v>30</v>
      </c>
      <c r="I68" s="114">
        <v>30</v>
      </c>
      <c r="J68" s="114">
        <f>IF(E2=3400,0,4)</f>
        <v>4</v>
      </c>
      <c r="K68" s="114" t="s">
        <v>29</v>
      </c>
      <c r="L68" s="116">
        <f>G68*55*I68*7.85*J68/1000000</f>
        <v>0.15543000000000001</v>
      </c>
      <c r="M68" s="116">
        <f>(((6000-(INT(6000/I68)*I68))/(INT(6000/I68)))+I68)*55*G68*J68*7.85/1000000</f>
        <v>0.15543000000000001</v>
      </c>
      <c r="N68" s="128">
        <f t="shared" si="46"/>
        <v>0</v>
      </c>
      <c r="O68" s="641"/>
      <c r="P68" s="447">
        <f t="shared" si="11"/>
        <v>413</v>
      </c>
      <c r="Q68" s="448" t="s">
        <v>35</v>
      </c>
      <c r="R68" s="449" t="str">
        <f t="shared" si="12"/>
        <v>Midle Drum</v>
      </c>
      <c r="S68" s="449">
        <v>1</v>
      </c>
      <c r="T68" s="609" t="s">
        <v>36</v>
      </c>
      <c r="U68" s="449" t="str">
        <f t="shared" si="13"/>
        <v>تسمه نوار عرضی</v>
      </c>
      <c r="V68" s="679">
        <v>1</v>
      </c>
      <c r="W68" s="609" t="s">
        <v>35</v>
      </c>
      <c r="X68" s="450" t="str">
        <f t="shared" si="14"/>
        <v>413020302</v>
      </c>
      <c r="Y68" s="451" t="str">
        <f t="shared" si="15"/>
        <v>بست تسمه نوار عرضی</v>
      </c>
      <c r="Z68" s="679" t="s">
        <v>345</v>
      </c>
      <c r="AA68" s="452">
        <f t="shared" si="16"/>
        <v>4</v>
      </c>
      <c r="AB68" s="647">
        <f t="shared" si="5"/>
        <v>4</v>
      </c>
      <c r="AC68" s="922">
        <f t="shared" si="6"/>
        <v>4</v>
      </c>
      <c r="AE68" s="757" t="str">
        <f t="shared" si="17"/>
        <v>413020302</v>
      </c>
      <c r="AF68" s="758" t="str">
        <f t="shared" si="18"/>
        <v>بست تسمه نوار عرضی</v>
      </c>
      <c r="AG68" s="452" t="str">
        <f t="shared" si="19"/>
        <v>Angle 30x30</v>
      </c>
      <c r="AH68" s="452" t="str">
        <f>F68</f>
        <v>A-36</v>
      </c>
      <c r="AI68" s="679" t="s">
        <v>421</v>
      </c>
      <c r="AJ68" s="832" t="s">
        <v>469</v>
      </c>
      <c r="AK68" s="879">
        <f>IF(E2=3400,0,M68/J68)</f>
        <v>3.8857500000000003E-2</v>
      </c>
      <c r="AL68" s="452" t="str">
        <f t="shared" si="25"/>
        <v>Kg</v>
      </c>
      <c r="AM68" s="1030">
        <f t="shared" si="37"/>
        <v>0.15543000000000001</v>
      </c>
      <c r="AP68"/>
      <c r="AQ68"/>
      <c r="AR68"/>
      <c r="AS68"/>
      <c r="AT68"/>
      <c r="BD68" s="1120" t="str">
        <f t="shared" si="21"/>
        <v>02</v>
      </c>
      <c r="BE68" s="1121" t="str">
        <f t="shared" si="22"/>
        <v>02</v>
      </c>
      <c r="BF68" s="1121" t="str">
        <f t="shared" si="22"/>
        <v>413020302</v>
      </c>
      <c r="BG68" s="1122" t="str">
        <f t="shared" si="38"/>
        <v>Midle Drum</v>
      </c>
      <c r="BH68" s="1122">
        <f t="shared" si="39"/>
        <v>1</v>
      </c>
      <c r="BI68" s="1123">
        <f t="shared" si="40"/>
        <v>1</v>
      </c>
    </row>
    <row r="69" spans="1:67" ht="15" x14ac:dyDescent="0.25">
      <c r="A69" s="1188">
        <v>62</v>
      </c>
      <c r="B69" s="122" t="s">
        <v>175</v>
      </c>
      <c r="C69" s="114" t="s">
        <v>135</v>
      </c>
      <c r="D69" s="115" t="s">
        <v>138</v>
      </c>
      <c r="E69" s="115" t="s">
        <v>131</v>
      </c>
      <c r="F69" s="115" t="s">
        <v>139</v>
      </c>
      <c r="G69" s="114">
        <v>5.6</v>
      </c>
      <c r="H69" s="114" t="s">
        <v>10</v>
      </c>
      <c r="I69" s="114" t="s">
        <v>133</v>
      </c>
      <c r="J69" s="114">
        <f>IF(E2=3400,0,4)</f>
        <v>4</v>
      </c>
      <c r="K69" s="114" t="s">
        <v>30</v>
      </c>
      <c r="L69" s="140">
        <f>J69</f>
        <v>4</v>
      </c>
      <c r="M69" s="140">
        <f>J69</f>
        <v>4</v>
      </c>
      <c r="N69" s="128">
        <f t="shared" si="46"/>
        <v>0</v>
      </c>
      <c r="O69" s="641"/>
      <c r="P69" s="447">
        <f t="shared" si="11"/>
        <v>413</v>
      </c>
      <c r="Q69" s="448" t="s">
        <v>35</v>
      </c>
      <c r="R69" s="449" t="str">
        <f t="shared" si="12"/>
        <v>Midle Drum</v>
      </c>
      <c r="S69" s="449">
        <v>1</v>
      </c>
      <c r="T69" s="609" t="s">
        <v>36</v>
      </c>
      <c r="U69" s="449" t="str">
        <f t="shared" si="13"/>
        <v>تسمه نوار عرضی</v>
      </c>
      <c r="V69" s="679">
        <v>1</v>
      </c>
      <c r="W69" s="609" t="s">
        <v>36</v>
      </c>
      <c r="X69" s="450" t="str">
        <f t="shared" si="14"/>
        <v>413020303</v>
      </c>
      <c r="Y69" s="451" t="str">
        <f t="shared" si="15"/>
        <v>پیچ بست تسمه نوار عرضی</v>
      </c>
      <c r="Z69" s="679" t="s">
        <v>346</v>
      </c>
      <c r="AA69" s="452">
        <f t="shared" si="16"/>
        <v>4</v>
      </c>
      <c r="AB69" s="647">
        <f t="shared" si="5"/>
        <v>4</v>
      </c>
      <c r="AC69" s="922">
        <f t="shared" si="6"/>
        <v>4</v>
      </c>
      <c r="AE69" s="757" t="str">
        <f t="shared" si="17"/>
        <v>413020303</v>
      </c>
      <c r="AF69" s="758" t="str">
        <f t="shared" si="18"/>
        <v>پیچ بست تسمه نوار عرضی</v>
      </c>
      <c r="AG69" s="452" t="str">
        <f t="shared" si="19"/>
        <v>Self Threaded Bolt</v>
      </c>
      <c r="AH69" s="452" t="str">
        <f t="shared" si="26"/>
        <v>M1/4"x10-5.6-Electroplated-Din 7983</v>
      </c>
      <c r="AI69" s="679" t="s">
        <v>422</v>
      </c>
      <c r="AJ69" s="833" t="s">
        <v>386</v>
      </c>
      <c r="AK69" s="879" t="s">
        <v>484</v>
      </c>
      <c r="AL69" s="452" t="str">
        <f t="shared" si="25"/>
        <v>Pcs</v>
      </c>
      <c r="AM69" s="1030">
        <f t="shared" si="37"/>
        <v>4</v>
      </c>
      <c r="AN69" s="10"/>
      <c r="AP69"/>
      <c r="AQ69"/>
      <c r="AR69"/>
      <c r="AS69"/>
      <c r="AT69"/>
      <c r="BD69" s="1120" t="str">
        <f t="shared" si="21"/>
        <v>02</v>
      </c>
      <c r="BE69" s="1121" t="str">
        <f t="shared" si="22"/>
        <v>03</v>
      </c>
      <c r="BF69" s="1121" t="str">
        <f t="shared" si="22"/>
        <v>413020303</v>
      </c>
      <c r="BG69" s="1122" t="str">
        <f t="shared" si="38"/>
        <v>Midle Drum</v>
      </c>
      <c r="BH69" s="1122">
        <f t="shared" si="39"/>
        <v>1</v>
      </c>
      <c r="BI69" s="1123">
        <f t="shared" si="40"/>
        <v>1</v>
      </c>
    </row>
    <row r="70" spans="1:67" ht="15" x14ac:dyDescent="0.25">
      <c r="A70" s="1171">
        <v>63</v>
      </c>
      <c r="B70" s="122" t="s">
        <v>175</v>
      </c>
      <c r="C70" s="114" t="s">
        <v>135</v>
      </c>
      <c r="D70" s="115" t="s">
        <v>140</v>
      </c>
      <c r="E70" s="115" t="s">
        <v>8</v>
      </c>
      <c r="F70" s="115" t="s">
        <v>141</v>
      </c>
      <c r="G70" s="114">
        <v>5.6</v>
      </c>
      <c r="H70" s="114" t="s">
        <v>10</v>
      </c>
      <c r="I70" s="114" t="s">
        <v>20</v>
      </c>
      <c r="J70" s="114">
        <f>IF(E2=3400,0,2)</f>
        <v>2</v>
      </c>
      <c r="K70" s="114" t="s">
        <v>30</v>
      </c>
      <c r="L70" s="140">
        <f>J70</f>
        <v>2</v>
      </c>
      <c r="M70" s="140">
        <f>J70</f>
        <v>2</v>
      </c>
      <c r="N70" s="128">
        <f t="shared" si="46"/>
        <v>0</v>
      </c>
      <c r="O70" s="641"/>
      <c r="P70" s="447">
        <f t="shared" si="11"/>
        <v>413</v>
      </c>
      <c r="Q70" s="448" t="s">
        <v>35</v>
      </c>
      <c r="R70" s="449" t="str">
        <f t="shared" si="12"/>
        <v>Midle Drum</v>
      </c>
      <c r="S70" s="449">
        <v>1</v>
      </c>
      <c r="T70" s="609" t="s">
        <v>36</v>
      </c>
      <c r="U70" s="449" t="str">
        <f t="shared" si="13"/>
        <v>تسمه نوار عرضی</v>
      </c>
      <c r="V70" s="679">
        <v>1</v>
      </c>
      <c r="W70" s="609" t="s">
        <v>37</v>
      </c>
      <c r="X70" s="450" t="str">
        <f t="shared" si="14"/>
        <v>413020304</v>
      </c>
      <c r="Y70" s="451" t="str">
        <f t="shared" si="15"/>
        <v>پیچ تسمه نوار عرضی</v>
      </c>
      <c r="Z70" s="679" t="s">
        <v>141</v>
      </c>
      <c r="AA70" s="452">
        <f t="shared" si="16"/>
        <v>2</v>
      </c>
      <c r="AB70" s="647">
        <f t="shared" si="5"/>
        <v>2</v>
      </c>
      <c r="AC70" s="922">
        <f t="shared" si="6"/>
        <v>2</v>
      </c>
      <c r="AE70" s="757" t="str">
        <f t="shared" si="17"/>
        <v>413020304</v>
      </c>
      <c r="AF70" s="758" t="str">
        <f t="shared" si="18"/>
        <v>پیچ تسمه نوار عرضی</v>
      </c>
      <c r="AG70" s="452" t="str">
        <f t="shared" si="19"/>
        <v>Hex Bolt</v>
      </c>
      <c r="AH70" s="452" t="str">
        <f t="shared" si="26"/>
        <v>M6x100-5.6-Electroplated-Din 933</v>
      </c>
      <c r="AI70" s="679" t="s">
        <v>423</v>
      </c>
      <c r="AJ70" s="833" t="s">
        <v>387</v>
      </c>
      <c r="AK70" s="879" t="s">
        <v>484</v>
      </c>
      <c r="AL70" s="452" t="str">
        <f t="shared" si="25"/>
        <v>Pcs</v>
      </c>
      <c r="AM70" s="1030">
        <f t="shared" si="37"/>
        <v>2</v>
      </c>
      <c r="AP70"/>
      <c r="AQ70"/>
      <c r="AR70"/>
      <c r="AS70"/>
      <c r="AT70"/>
      <c r="BD70" s="1120" t="str">
        <f t="shared" si="21"/>
        <v>02</v>
      </c>
      <c r="BE70" s="1121" t="str">
        <f t="shared" si="22"/>
        <v>04</v>
      </c>
      <c r="BF70" s="1121" t="str">
        <f t="shared" si="22"/>
        <v>413020304</v>
      </c>
      <c r="BG70" s="1122" t="str">
        <f t="shared" si="38"/>
        <v>Midle Drum</v>
      </c>
      <c r="BH70" s="1122">
        <f t="shared" si="39"/>
        <v>1</v>
      </c>
      <c r="BI70" s="1123">
        <f t="shared" si="40"/>
        <v>1</v>
      </c>
    </row>
    <row r="71" spans="1:67" ht="15.75" thickBot="1" x14ac:dyDescent="0.3">
      <c r="A71" s="1174">
        <v>64</v>
      </c>
      <c r="B71" s="294" t="s">
        <v>175</v>
      </c>
      <c r="C71" s="295" t="s">
        <v>135</v>
      </c>
      <c r="D71" s="296" t="s">
        <v>142</v>
      </c>
      <c r="E71" s="296" t="s">
        <v>9</v>
      </c>
      <c r="F71" s="296" t="s">
        <v>5</v>
      </c>
      <c r="G71" s="295">
        <v>5</v>
      </c>
      <c r="H71" s="295" t="s">
        <v>10</v>
      </c>
      <c r="I71" s="295" t="s">
        <v>21</v>
      </c>
      <c r="J71" s="295">
        <f>J70</f>
        <v>2</v>
      </c>
      <c r="K71" s="295" t="s">
        <v>30</v>
      </c>
      <c r="L71" s="295">
        <f>J71</f>
        <v>2</v>
      </c>
      <c r="M71" s="295">
        <f>J71</f>
        <v>2</v>
      </c>
      <c r="N71" s="298">
        <f t="shared" si="46"/>
        <v>0</v>
      </c>
      <c r="O71" s="641"/>
      <c r="P71" s="465">
        <f t="shared" si="11"/>
        <v>413</v>
      </c>
      <c r="Q71" s="466" t="s">
        <v>35</v>
      </c>
      <c r="R71" s="467" t="str">
        <f t="shared" si="12"/>
        <v>Midle Drum</v>
      </c>
      <c r="S71" s="467">
        <v>1</v>
      </c>
      <c r="T71" s="610" t="s">
        <v>36</v>
      </c>
      <c r="U71" s="467" t="str">
        <f t="shared" si="13"/>
        <v>تسمه نوار عرضی</v>
      </c>
      <c r="V71" s="680">
        <v>1</v>
      </c>
      <c r="W71" s="610" t="s">
        <v>38</v>
      </c>
      <c r="X71" s="468" t="str">
        <f t="shared" si="14"/>
        <v>413020305</v>
      </c>
      <c r="Y71" s="469" t="str">
        <f t="shared" si="15"/>
        <v>مهره تسمه نوار عرضی</v>
      </c>
      <c r="Z71" s="680" t="s">
        <v>5</v>
      </c>
      <c r="AA71" s="470">
        <f t="shared" si="16"/>
        <v>2</v>
      </c>
      <c r="AB71" s="648">
        <f t="shared" si="5"/>
        <v>2</v>
      </c>
      <c r="AC71" s="923">
        <f t="shared" si="6"/>
        <v>2</v>
      </c>
      <c r="AE71" s="759" t="str">
        <f t="shared" si="17"/>
        <v>413020305</v>
      </c>
      <c r="AF71" s="760" t="str">
        <f t="shared" si="18"/>
        <v>مهره تسمه نوار عرضی</v>
      </c>
      <c r="AG71" s="470" t="str">
        <f t="shared" si="19"/>
        <v>Hex Nut</v>
      </c>
      <c r="AH71" s="470" t="str">
        <f t="shared" si="26"/>
        <v>M6-5-Electroplated-Din 934</v>
      </c>
      <c r="AI71" s="680" t="s">
        <v>424</v>
      </c>
      <c r="AJ71" s="834" t="s">
        <v>104</v>
      </c>
      <c r="AK71" s="880" t="s">
        <v>484</v>
      </c>
      <c r="AL71" s="470" t="str">
        <f t="shared" si="25"/>
        <v>Pcs</v>
      </c>
      <c r="AM71" s="1031">
        <f t="shared" si="37"/>
        <v>2</v>
      </c>
      <c r="AP71"/>
      <c r="AQ71"/>
      <c r="AR71"/>
      <c r="AS71"/>
      <c r="AT71"/>
      <c r="BD71" s="1120" t="str">
        <f t="shared" si="21"/>
        <v>02</v>
      </c>
      <c r="BE71" s="1121" t="str">
        <f t="shared" si="22"/>
        <v>05</v>
      </c>
      <c r="BF71" s="1121" t="str">
        <f t="shared" si="22"/>
        <v>413020305</v>
      </c>
      <c r="BG71" s="1122" t="str">
        <f t="shared" si="38"/>
        <v>Midle Drum</v>
      </c>
      <c r="BH71" s="1122">
        <f t="shared" si="39"/>
        <v>1</v>
      </c>
      <c r="BI71" s="1123">
        <f t="shared" si="40"/>
        <v>1</v>
      </c>
    </row>
    <row r="72" spans="1:67" ht="15.75" thickBot="1" x14ac:dyDescent="0.3">
      <c r="A72" s="1189">
        <v>65</v>
      </c>
      <c r="B72" s="1157" t="s">
        <v>175</v>
      </c>
      <c r="C72" s="1158" t="s">
        <v>154</v>
      </c>
      <c r="D72" s="1159" t="s">
        <v>154</v>
      </c>
      <c r="E72" s="1159" t="s">
        <v>176</v>
      </c>
      <c r="F72" s="1159" t="s">
        <v>177</v>
      </c>
      <c r="G72" s="1158" t="s">
        <v>2</v>
      </c>
      <c r="H72" s="1158" t="s">
        <v>2</v>
      </c>
      <c r="I72" s="1158" t="s">
        <v>2</v>
      </c>
      <c r="J72" s="1158">
        <f>J56/2</f>
        <v>4</v>
      </c>
      <c r="K72" s="1158" t="s">
        <v>30</v>
      </c>
      <c r="L72" s="1158">
        <f>J72</f>
        <v>4</v>
      </c>
      <c r="M72" s="1158">
        <f>J72</f>
        <v>4</v>
      </c>
      <c r="N72" s="1160">
        <f t="shared" si="46"/>
        <v>0</v>
      </c>
      <c r="O72" s="641"/>
      <c r="P72" s="495">
        <f t="shared" si="11"/>
        <v>413</v>
      </c>
      <c r="Q72" s="496" t="s">
        <v>35</v>
      </c>
      <c r="R72" s="497" t="str">
        <f t="shared" si="12"/>
        <v>Midle Drum</v>
      </c>
      <c r="S72" s="497">
        <v>1</v>
      </c>
      <c r="T72" s="611" t="s">
        <v>37</v>
      </c>
      <c r="U72" s="497" t="str">
        <f t="shared" si="13"/>
        <v>فیلتر</v>
      </c>
      <c r="V72" s="684">
        <v>1</v>
      </c>
      <c r="W72" s="611" t="s">
        <v>34</v>
      </c>
      <c r="X72" s="498" t="str">
        <f t="shared" si="14"/>
        <v>413020401</v>
      </c>
      <c r="Y72" s="499" t="str">
        <f t="shared" si="15"/>
        <v>فیلتر</v>
      </c>
      <c r="Z72" s="684" t="s">
        <v>177</v>
      </c>
      <c r="AA72" s="500">
        <f t="shared" si="16"/>
        <v>4</v>
      </c>
      <c r="AB72" s="652">
        <f t="shared" si="5"/>
        <v>4</v>
      </c>
      <c r="AC72" s="927">
        <f t="shared" si="6"/>
        <v>4</v>
      </c>
      <c r="AE72" s="763" t="str">
        <f t="shared" si="17"/>
        <v>413020401</v>
      </c>
      <c r="AF72" s="764" t="str">
        <f t="shared" si="18"/>
        <v>فیلتر</v>
      </c>
      <c r="AG72" s="500" t="str">
        <f t="shared" si="19"/>
        <v>فیلتر اسفنجی</v>
      </c>
      <c r="AH72" s="500" t="str">
        <f>F72</f>
        <v>PPI 45</v>
      </c>
      <c r="AI72" s="684" t="s">
        <v>425</v>
      </c>
      <c r="AJ72" s="839" t="s">
        <v>388</v>
      </c>
      <c r="AK72" s="884" t="s">
        <v>484</v>
      </c>
      <c r="AL72" s="500" t="str">
        <f t="shared" si="25"/>
        <v>Pcs</v>
      </c>
      <c r="AM72" s="1035">
        <f t="shared" si="37"/>
        <v>4</v>
      </c>
      <c r="AP72"/>
      <c r="AQ72"/>
      <c r="AR72"/>
      <c r="AS72"/>
      <c r="AT72"/>
      <c r="BD72" s="1120" t="str">
        <f t="shared" si="21"/>
        <v>02</v>
      </c>
      <c r="BE72" s="1121" t="str">
        <f t="shared" si="22"/>
        <v>01</v>
      </c>
      <c r="BF72" s="1121" t="str">
        <f t="shared" si="22"/>
        <v>413020401</v>
      </c>
      <c r="BG72" s="1122" t="str">
        <f t="shared" ref="BG72:BH135" si="47">R72</f>
        <v>Midle Drum</v>
      </c>
      <c r="BH72" s="1122">
        <f t="shared" si="47"/>
        <v>1</v>
      </c>
      <c r="BI72" s="1123">
        <f t="shared" ref="BI72:BI135" si="48">BH72*BA$5</f>
        <v>1</v>
      </c>
    </row>
    <row r="73" spans="1:67" ht="15" x14ac:dyDescent="0.25">
      <c r="A73" s="271">
        <v>66</v>
      </c>
      <c r="B73" s="123" t="s">
        <v>175</v>
      </c>
      <c r="C73" s="124" t="s">
        <v>316</v>
      </c>
      <c r="D73" s="125" t="s">
        <v>316</v>
      </c>
      <c r="E73" s="272" t="s">
        <v>3</v>
      </c>
      <c r="F73" s="124" t="s">
        <v>80</v>
      </c>
      <c r="G73" s="124">
        <v>4</v>
      </c>
      <c r="H73" s="124">
        <v>75</v>
      </c>
      <c r="I73" s="124">
        <f>IF(E1=2500,1415,IF(E1=3000,1165,0))</f>
        <v>0</v>
      </c>
      <c r="J73" s="124">
        <f>IF(E1=1500,0,IF(E1=2000,0,J72))</f>
        <v>0</v>
      </c>
      <c r="K73" s="124" t="s">
        <v>29</v>
      </c>
      <c r="L73" s="126">
        <f>G73*H73*I73*J73*7.85/1000000</f>
        <v>0</v>
      </c>
      <c r="M73" s="124">
        <f>((((1250-(INT(1250/H73)*H73))/(INT(1250/H73)))+H73)*G73*I73*J73*7.85)/1000000</f>
        <v>0</v>
      </c>
      <c r="N73" s="127">
        <f>IF(J73=0,0,(M73-L73)/L73)</f>
        <v>0</v>
      </c>
      <c r="O73" s="641"/>
      <c r="P73" s="441">
        <f t="shared" ref="P73:P136" si="49">IF(E66=1500,410,IF(E66=2000,411,IF(E66=2500,412,413)))</f>
        <v>413</v>
      </c>
      <c r="Q73" s="442" t="s">
        <v>35</v>
      </c>
      <c r="R73" s="443" t="str">
        <f t="shared" ref="R73:R136" si="50">B73</f>
        <v>Midle Drum</v>
      </c>
      <c r="S73" s="443">
        <v>1</v>
      </c>
      <c r="T73" s="608" t="s">
        <v>38</v>
      </c>
      <c r="U73" s="443" t="str">
        <f t="shared" ref="U73:U136" si="51">C73</f>
        <v>نبشی تقویتی میانی</v>
      </c>
      <c r="V73" s="678">
        <v>1</v>
      </c>
      <c r="W73" s="608" t="s">
        <v>34</v>
      </c>
      <c r="X73" s="444" t="str">
        <f t="shared" ref="X73:X136" si="52">P73&amp;Q73&amp;T73&amp;W73</f>
        <v>413020501</v>
      </c>
      <c r="Y73" s="445" t="str">
        <f t="shared" ref="Y73:Y136" si="53">D73</f>
        <v>نبشی تقویتی میانی</v>
      </c>
      <c r="Z73" s="697" t="str">
        <f>G73&amp;"x"&amp;H73&amp;"x"&amp;I73</f>
        <v>4x75x0</v>
      </c>
      <c r="AA73" s="446">
        <f t="shared" ref="AA73:AA136" si="54">J73</f>
        <v>0</v>
      </c>
      <c r="AB73" s="646">
        <f t="shared" si="5"/>
        <v>0</v>
      </c>
      <c r="AC73" s="921">
        <f t="shared" si="6"/>
        <v>0</v>
      </c>
      <c r="AE73" s="755" t="str">
        <f t="shared" ref="AE73:AE136" si="55">X73</f>
        <v>413020501</v>
      </c>
      <c r="AF73" s="756" t="str">
        <f t="shared" ref="AF73:AF136" si="56">Y73</f>
        <v>نبشی تقویتی میانی</v>
      </c>
      <c r="AG73" s="446" t="str">
        <f t="shared" ref="AG73:AG136" si="57">E73</f>
        <v>Plate</v>
      </c>
      <c r="AH73" s="446" t="str">
        <f>F73</f>
        <v>St-37</v>
      </c>
      <c r="AI73" s="678" t="s">
        <v>413</v>
      </c>
      <c r="AJ73" s="838" t="s">
        <v>464</v>
      </c>
      <c r="AK73" s="878">
        <f>IF(J73=0,0,M73/J73)</f>
        <v>0</v>
      </c>
      <c r="AL73" s="446" t="str">
        <f t="shared" si="25"/>
        <v>Kg</v>
      </c>
      <c r="AM73" s="1029">
        <f t="shared" si="37"/>
        <v>0</v>
      </c>
      <c r="AP73"/>
      <c r="AQ73"/>
      <c r="AR73"/>
      <c r="AS73"/>
      <c r="AT73"/>
      <c r="BD73" s="1120" t="str">
        <f t="shared" ref="BD73:BD136" si="58">Q73</f>
        <v>02</v>
      </c>
      <c r="BE73" s="1121" t="str">
        <f t="shared" ref="BE73:BF136" si="59">W73</f>
        <v>01</v>
      </c>
      <c r="BF73" s="1121" t="str">
        <f t="shared" si="59"/>
        <v>413020501</v>
      </c>
      <c r="BG73" s="1122" t="str">
        <f t="shared" si="47"/>
        <v>Midle Drum</v>
      </c>
      <c r="BH73" s="1122">
        <f t="shared" si="47"/>
        <v>1</v>
      </c>
      <c r="BI73" s="1123">
        <f t="shared" si="48"/>
        <v>1</v>
      </c>
    </row>
    <row r="74" spans="1:67" ht="15" x14ac:dyDescent="0.25">
      <c r="A74" s="273">
        <v>67</v>
      </c>
      <c r="B74" s="122" t="s">
        <v>175</v>
      </c>
      <c r="C74" s="114" t="s">
        <v>316</v>
      </c>
      <c r="D74" s="115" t="s">
        <v>317</v>
      </c>
      <c r="E74" s="274" t="s">
        <v>3</v>
      </c>
      <c r="F74" s="114" t="s">
        <v>80</v>
      </c>
      <c r="G74" s="114">
        <v>10</v>
      </c>
      <c r="H74" s="114">
        <v>350</v>
      </c>
      <c r="I74" s="114">
        <v>350</v>
      </c>
      <c r="J74" s="114">
        <f>IF(E1=1500,0,IF(E1=2000,0,1))</f>
        <v>0</v>
      </c>
      <c r="K74" s="114" t="s">
        <v>29</v>
      </c>
      <c r="L74" s="116">
        <f>G74*H74*I74*J74*7.85/1000000</f>
        <v>0</v>
      </c>
      <c r="M74" s="114">
        <f>((((1500-(INT(1500/H74)*H74))/(INT(1500/H74)))+H74)*G74*I74*J74*7.85)/1000000</f>
        <v>0</v>
      </c>
      <c r="N74" s="128">
        <f t="shared" ref="N74:N81" si="60">IF(J74=0,0,(M74-L74)/L74)</f>
        <v>0</v>
      </c>
      <c r="O74" s="641"/>
      <c r="P74" s="447">
        <f t="shared" si="49"/>
        <v>413</v>
      </c>
      <c r="Q74" s="448" t="s">
        <v>35</v>
      </c>
      <c r="R74" s="449" t="str">
        <f t="shared" si="50"/>
        <v>Midle Drum</v>
      </c>
      <c r="S74" s="449">
        <v>1</v>
      </c>
      <c r="T74" s="609" t="s">
        <v>38</v>
      </c>
      <c r="U74" s="449" t="str">
        <f t="shared" si="51"/>
        <v>نبشی تقویتی میانی</v>
      </c>
      <c r="V74" s="679">
        <v>1</v>
      </c>
      <c r="W74" s="609" t="s">
        <v>35</v>
      </c>
      <c r="X74" s="450" t="str">
        <f t="shared" si="52"/>
        <v>413020502</v>
      </c>
      <c r="Y74" s="451" t="str">
        <f t="shared" si="53"/>
        <v>صفحه اتصال نبشی تقویتی</v>
      </c>
      <c r="Z74" s="679" t="str">
        <f>G74&amp;"x"&amp;H74&amp;"x"&amp;I74</f>
        <v>10x350x350</v>
      </c>
      <c r="AA74" s="452">
        <f t="shared" si="54"/>
        <v>0</v>
      </c>
      <c r="AB74" s="647">
        <f t="shared" si="5"/>
        <v>0</v>
      </c>
      <c r="AC74" s="922">
        <f t="shared" si="6"/>
        <v>0</v>
      </c>
      <c r="AE74" s="757" t="str">
        <f t="shared" si="55"/>
        <v>413020502</v>
      </c>
      <c r="AF74" s="758" t="str">
        <f t="shared" si="56"/>
        <v>صفحه اتصال نبشی تقویتی</v>
      </c>
      <c r="AG74" s="452" t="str">
        <f t="shared" si="57"/>
        <v>Plate</v>
      </c>
      <c r="AH74" s="452" t="str">
        <f>F74</f>
        <v>St-37</v>
      </c>
      <c r="AI74" s="679" t="s">
        <v>427</v>
      </c>
      <c r="AJ74" s="832" t="s">
        <v>471</v>
      </c>
      <c r="AK74" s="879">
        <f>IF(J47=0,0,M74/J74)</f>
        <v>0</v>
      </c>
      <c r="AL74" s="452" t="str">
        <f t="shared" ref="AL74:AL137" si="61">K74</f>
        <v>Kg</v>
      </c>
      <c r="AM74" s="1030">
        <f t="shared" si="37"/>
        <v>0</v>
      </c>
      <c r="AP74"/>
      <c r="AQ74"/>
      <c r="AR74"/>
      <c r="AS74"/>
      <c r="AT74"/>
      <c r="BD74" s="1120" t="str">
        <f t="shared" si="58"/>
        <v>02</v>
      </c>
      <c r="BE74" s="1121" t="str">
        <f t="shared" si="59"/>
        <v>02</v>
      </c>
      <c r="BF74" s="1121" t="str">
        <f t="shared" si="59"/>
        <v>413020502</v>
      </c>
      <c r="BG74" s="1122" t="str">
        <f t="shared" si="47"/>
        <v>Midle Drum</v>
      </c>
      <c r="BH74" s="1122">
        <f t="shared" si="47"/>
        <v>1</v>
      </c>
      <c r="BI74" s="1123">
        <f t="shared" si="48"/>
        <v>1</v>
      </c>
    </row>
    <row r="75" spans="1:67" ht="15" x14ac:dyDescent="0.25">
      <c r="A75" s="273">
        <v>68</v>
      </c>
      <c r="B75" s="122" t="s">
        <v>175</v>
      </c>
      <c r="C75" s="114" t="s">
        <v>316</v>
      </c>
      <c r="D75" s="115" t="s">
        <v>161</v>
      </c>
      <c r="E75" s="274" t="s">
        <v>3</v>
      </c>
      <c r="F75" s="114" t="s">
        <v>80</v>
      </c>
      <c r="G75" s="114">
        <v>8</v>
      </c>
      <c r="H75" s="114">
        <v>155</v>
      </c>
      <c r="I75" s="114">
        <v>270</v>
      </c>
      <c r="J75" s="114">
        <f>IF(E1=1500,0,IF(E1=2000,0,J73))</f>
        <v>0</v>
      </c>
      <c r="K75" s="114" t="s">
        <v>29</v>
      </c>
      <c r="L75" s="116">
        <f>G75*H75*I75*J75*7.85/1000000</f>
        <v>0</v>
      </c>
      <c r="M75" s="114">
        <f>((((1500-(INT(1500/H75)*H75))/(INT(1500/H75)))+H75)*G75*I75*J75*7.85)/1000000</f>
        <v>0</v>
      </c>
      <c r="N75" s="128">
        <f t="shared" si="60"/>
        <v>0</v>
      </c>
      <c r="O75" s="641"/>
      <c r="P75" s="447">
        <f t="shared" si="49"/>
        <v>413</v>
      </c>
      <c r="Q75" s="448" t="s">
        <v>35</v>
      </c>
      <c r="R75" s="449" t="str">
        <f t="shared" si="50"/>
        <v>Midle Drum</v>
      </c>
      <c r="S75" s="449">
        <v>1</v>
      </c>
      <c r="T75" s="609" t="s">
        <v>38</v>
      </c>
      <c r="U75" s="449" t="str">
        <f t="shared" si="51"/>
        <v>نبشی تقویتی میانی</v>
      </c>
      <c r="V75" s="679">
        <v>1</v>
      </c>
      <c r="W75" s="609" t="s">
        <v>36</v>
      </c>
      <c r="X75" s="450" t="str">
        <f t="shared" si="52"/>
        <v>413020503</v>
      </c>
      <c r="Y75" s="451" t="str">
        <f t="shared" si="53"/>
        <v>ورق اتصال مثلثی</v>
      </c>
      <c r="Z75" s="679" t="str">
        <f>G75&amp;"x"&amp;H75&amp;"x"&amp;I75</f>
        <v>8x155x270</v>
      </c>
      <c r="AA75" s="452">
        <f t="shared" si="54"/>
        <v>0</v>
      </c>
      <c r="AB75" s="647">
        <f t="shared" si="5"/>
        <v>0</v>
      </c>
      <c r="AC75" s="922">
        <f t="shared" si="6"/>
        <v>0</v>
      </c>
      <c r="AE75" s="757" t="str">
        <f t="shared" si="55"/>
        <v>413020503</v>
      </c>
      <c r="AF75" s="758" t="str">
        <f t="shared" si="56"/>
        <v>ورق اتصال مثلثی</v>
      </c>
      <c r="AG75" s="452" t="str">
        <f t="shared" si="57"/>
        <v>Plate</v>
      </c>
      <c r="AH75" s="452" t="str">
        <f>F75</f>
        <v>St-37</v>
      </c>
      <c r="AI75" s="679" t="s">
        <v>432</v>
      </c>
      <c r="AJ75" s="833" t="s">
        <v>472</v>
      </c>
      <c r="AK75" s="879">
        <f>IF(J75=0,0,M75/J75)</f>
        <v>0</v>
      </c>
      <c r="AL75" s="452" t="str">
        <f t="shared" si="61"/>
        <v>Kg</v>
      </c>
      <c r="AM75" s="1030">
        <f t="shared" si="37"/>
        <v>0</v>
      </c>
      <c r="AP75"/>
      <c r="AQ75"/>
      <c r="AR75"/>
      <c r="AS75"/>
      <c r="AT75"/>
      <c r="BD75" s="1120" t="str">
        <f t="shared" si="58"/>
        <v>02</v>
      </c>
      <c r="BE75" s="1121" t="str">
        <f t="shared" si="59"/>
        <v>03</v>
      </c>
      <c r="BF75" s="1121" t="str">
        <f t="shared" si="59"/>
        <v>413020503</v>
      </c>
      <c r="BG75" s="1122" t="str">
        <f t="shared" si="47"/>
        <v>Midle Drum</v>
      </c>
      <c r="BH75" s="1122">
        <f t="shared" si="47"/>
        <v>1</v>
      </c>
      <c r="BI75" s="1123">
        <f t="shared" si="48"/>
        <v>1</v>
      </c>
    </row>
    <row r="76" spans="1:67" ht="15" x14ac:dyDescent="0.25">
      <c r="A76" s="273">
        <v>69</v>
      </c>
      <c r="B76" s="122" t="s">
        <v>175</v>
      </c>
      <c r="C76" s="114" t="s">
        <v>316</v>
      </c>
      <c r="D76" s="115" t="s">
        <v>318</v>
      </c>
      <c r="E76" s="274" t="s">
        <v>8</v>
      </c>
      <c r="F76" s="114" t="s">
        <v>23</v>
      </c>
      <c r="G76" s="114">
        <v>5.6</v>
      </c>
      <c r="H76" s="114" t="s">
        <v>10</v>
      </c>
      <c r="I76" s="114" t="s">
        <v>20</v>
      </c>
      <c r="J76" s="114">
        <f>IF(E1=1500,0,IF(E1=2000,0,J73*4))</f>
        <v>0</v>
      </c>
      <c r="K76" s="114" t="s">
        <v>322</v>
      </c>
      <c r="L76" s="114">
        <f>J76</f>
        <v>0</v>
      </c>
      <c r="M76" s="114">
        <f>J76</f>
        <v>0</v>
      </c>
      <c r="N76" s="128">
        <f t="shared" si="60"/>
        <v>0</v>
      </c>
      <c r="O76" s="641"/>
      <c r="P76" s="447">
        <f t="shared" si="49"/>
        <v>413</v>
      </c>
      <c r="Q76" s="448" t="s">
        <v>35</v>
      </c>
      <c r="R76" s="449" t="str">
        <f t="shared" si="50"/>
        <v>Midle Drum</v>
      </c>
      <c r="S76" s="449">
        <v>1</v>
      </c>
      <c r="T76" s="609" t="s">
        <v>38</v>
      </c>
      <c r="U76" s="449" t="str">
        <f t="shared" si="51"/>
        <v>نبشی تقویتی میانی</v>
      </c>
      <c r="V76" s="679">
        <v>1</v>
      </c>
      <c r="W76" s="609" t="s">
        <v>37</v>
      </c>
      <c r="X76" s="450" t="str">
        <f t="shared" si="52"/>
        <v>413020504</v>
      </c>
      <c r="Y76" s="451" t="str">
        <f t="shared" si="53"/>
        <v>پیچ نبشی تقویتی میانی</v>
      </c>
      <c r="Z76" s="679" t="s">
        <v>23</v>
      </c>
      <c r="AA76" s="452">
        <f t="shared" si="54"/>
        <v>0</v>
      </c>
      <c r="AB76" s="647">
        <f t="shared" si="5"/>
        <v>0</v>
      </c>
      <c r="AC76" s="922">
        <f t="shared" si="6"/>
        <v>0</v>
      </c>
      <c r="AE76" s="757" t="str">
        <f t="shared" si="55"/>
        <v>413020504</v>
      </c>
      <c r="AF76" s="758" t="str">
        <f t="shared" si="56"/>
        <v>پیچ نبشی تقویتی میانی</v>
      </c>
      <c r="AG76" s="452" t="str">
        <f t="shared" si="57"/>
        <v>Hex Bolt</v>
      </c>
      <c r="AH76" s="452" t="str">
        <f t="shared" ref="AH76:AH133" si="62">F76&amp;"-"&amp;G76&amp;"-"&amp;H76&amp;"-"&amp;I76</f>
        <v>M10x30-5.6-Electroplated-Din 933</v>
      </c>
      <c r="AI76" s="679" t="s">
        <v>434</v>
      </c>
      <c r="AJ76" s="833" t="s">
        <v>108</v>
      </c>
      <c r="AK76" s="879" t="s">
        <v>484</v>
      </c>
      <c r="AL76" s="452" t="str">
        <f t="shared" si="61"/>
        <v>pcs</v>
      </c>
      <c r="AM76" s="1030">
        <f t="shared" si="37"/>
        <v>0</v>
      </c>
      <c r="AP76"/>
      <c r="AQ76"/>
      <c r="AR76"/>
      <c r="AS76"/>
      <c r="AT76"/>
      <c r="BD76" s="1120" t="str">
        <f t="shared" si="58"/>
        <v>02</v>
      </c>
      <c r="BE76" s="1121" t="str">
        <f t="shared" si="59"/>
        <v>04</v>
      </c>
      <c r="BF76" s="1121" t="str">
        <f t="shared" si="59"/>
        <v>413020504</v>
      </c>
      <c r="BG76" s="1122" t="str">
        <f t="shared" si="47"/>
        <v>Midle Drum</v>
      </c>
      <c r="BH76" s="1122">
        <f t="shared" si="47"/>
        <v>1</v>
      </c>
      <c r="BI76" s="1123">
        <f t="shared" si="48"/>
        <v>1</v>
      </c>
    </row>
    <row r="77" spans="1:67" ht="15" x14ac:dyDescent="0.25">
      <c r="A77" s="273">
        <v>70</v>
      </c>
      <c r="B77" s="122" t="s">
        <v>175</v>
      </c>
      <c r="C77" s="114" t="s">
        <v>316</v>
      </c>
      <c r="D77" s="115" t="s">
        <v>319</v>
      </c>
      <c r="E77" s="274" t="s">
        <v>9</v>
      </c>
      <c r="F77" s="114" t="s">
        <v>17</v>
      </c>
      <c r="G77" s="114">
        <v>5</v>
      </c>
      <c r="H77" s="114" t="s">
        <v>10</v>
      </c>
      <c r="I77" s="114" t="s">
        <v>21</v>
      </c>
      <c r="J77" s="114">
        <f>IF(E1=1500,0,IF(E1=2000,0,J76))</f>
        <v>0</v>
      </c>
      <c r="K77" s="114" t="s">
        <v>322</v>
      </c>
      <c r="L77" s="114">
        <f t="shared" ref="L77:L81" si="63">J77</f>
        <v>0</v>
      </c>
      <c r="M77" s="114">
        <f t="shared" ref="M77:M81" si="64">J77</f>
        <v>0</v>
      </c>
      <c r="N77" s="128">
        <f t="shared" si="60"/>
        <v>0</v>
      </c>
      <c r="O77" s="641"/>
      <c r="P77" s="447">
        <f t="shared" si="49"/>
        <v>413</v>
      </c>
      <c r="Q77" s="448" t="s">
        <v>35</v>
      </c>
      <c r="R77" s="449" t="str">
        <f t="shared" si="50"/>
        <v>Midle Drum</v>
      </c>
      <c r="S77" s="449">
        <v>1</v>
      </c>
      <c r="T77" s="609" t="s">
        <v>38</v>
      </c>
      <c r="U77" s="449" t="str">
        <f t="shared" si="51"/>
        <v>نبشی تقویتی میانی</v>
      </c>
      <c r="V77" s="679">
        <v>1</v>
      </c>
      <c r="W77" s="609" t="s">
        <v>38</v>
      </c>
      <c r="X77" s="450" t="str">
        <f t="shared" si="52"/>
        <v>413020505</v>
      </c>
      <c r="Y77" s="451" t="str">
        <f t="shared" si="53"/>
        <v>مهره نبشی تقویتی میانی</v>
      </c>
      <c r="Z77" s="679" t="s">
        <v>17</v>
      </c>
      <c r="AA77" s="452">
        <f t="shared" si="54"/>
        <v>0</v>
      </c>
      <c r="AB77" s="647">
        <f t="shared" si="5"/>
        <v>0</v>
      </c>
      <c r="AC77" s="922">
        <f t="shared" si="6"/>
        <v>0</v>
      </c>
      <c r="AE77" s="757" t="str">
        <f t="shared" si="55"/>
        <v>413020505</v>
      </c>
      <c r="AF77" s="758" t="str">
        <f t="shared" si="56"/>
        <v>مهره نبشی تقویتی میانی</v>
      </c>
      <c r="AG77" s="452" t="str">
        <f t="shared" si="57"/>
        <v>Hex Nut</v>
      </c>
      <c r="AH77" s="452" t="str">
        <f t="shared" si="62"/>
        <v>M10-5-Electroplated-Din 934</v>
      </c>
      <c r="AI77" s="1137" t="s">
        <v>435</v>
      </c>
      <c r="AJ77" s="833" t="s">
        <v>105</v>
      </c>
      <c r="AK77" s="879" t="s">
        <v>484</v>
      </c>
      <c r="AL77" s="452" t="str">
        <f t="shared" si="61"/>
        <v>pcs</v>
      </c>
      <c r="AM77" s="1030">
        <f t="shared" si="37"/>
        <v>0</v>
      </c>
      <c r="AP77"/>
      <c r="AQ77"/>
      <c r="AR77"/>
      <c r="AS77"/>
      <c r="AT77"/>
      <c r="BD77" s="1120" t="str">
        <f t="shared" si="58"/>
        <v>02</v>
      </c>
      <c r="BE77" s="1121" t="str">
        <f t="shared" si="59"/>
        <v>05</v>
      </c>
      <c r="BF77" s="1121" t="str">
        <f t="shared" si="59"/>
        <v>413020505</v>
      </c>
      <c r="BG77" s="1122" t="str">
        <f t="shared" si="47"/>
        <v>Midle Drum</v>
      </c>
      <c r="BH77" s="1122">
        <f t="shared" si="47"/>
        <v>1</v>
      </c>
      <c r="BI77" s="1123">
        <f t="shared" si="48"/>
        <v>1</v>
      </c>
    </row>
    <row r="78" spans="1:67" ht="15" x14ac:dyDescent="0.25">
      <c r="A78" s="273">
        <v>71</v>
      </c>
      <c r="B78" s="122" t="s">
        <v>175</v>
      </c>
      <c r="C78" s="114" t="s">
        <v>316</v>
      </c>
      <c r="D78" s="115" t="s">
        <v>320</v>
      </c>
      <c r="E78" s="274" t="s">
        <v>18</v>
      </c>
      <c r="F78" s="114" t="s">
        <v>25</v>
      </c>
      <c r="G78" s="114" t="s">
        <v>24</v>
      </c>
      <c r="H78" s="114" t="s">
        <v>10</v>
      </c>
      <c r="I78" s="114" t="s">
        <v>22</v>
      </c>
      <c r="J78" s="114">
        <f>IF(E1=1500,0,IF(E1=2000,0,J77))</f>
        <v>0</v>
      </c>
      <c r="K78" s="114" t="s">
        <v>322</v>
      </c>
      <c r="L78" s="114">
        <f t="shared" si="63"/>
        <v>0</v>
      </c>
      <c r="M78" s="114">
        <f t="shared" si="64"/>
        <v>0</v>
      </c>
      <c r="N78" s="128">
        <f t="shared" si="60"/>
        <v>0</v>
      </c>
      <c r="O78" s="641"/>
      <c r="P78" s="447">
        <f t="shared" si="49"/>
        <v>413</v>
      </c>
      <c r="Q78" s="448" t="s">
        <v>35</v>
      </c>
      <c r="R78" s="449" t="str">
        <f t="shared" si="50"/>
        <v>Midle Drum</v>
      </c>
      <c r="S78" s="449">
        <v>1</v>
      </c>
      <c r="T78" s="609" t="s">
        <v>38</v>
      </c>
      <c r="U78" s="449" t="str">
        <f t="shared" si="51"/>
        <v>نبشی تقویتی میانی</v>
      </c>
      <c r="V78" s="679">
        <v>1</v>
      </c>
      <c r="W78" s="609" t="s">
        <v>39</v>
      </c>
      <c r="X78" s="450" t="str">
        <f t="shared" si="52"/>
        <v>413020506</v>
      </c>
      <c r="Y78" s="451" t="str">
        <f t="shared" si="53"/>
        <v>واشر فنری نبشی تقویتی میانی</v>
      </c>
      <c r="Z78" s="679" t="s">
        <v>25</v>
      </c>
      <c r="AA78" s="452">
        <f t="shared" si="54"/>
        <v>0</v>
      </c>
      <c r="AB78" s="647">
        <f t="shared" si="5"/>
        <v>0</v>
      </c>
      <c r="AC78" s="922">
        <f t="shared" si="6"/>
        <v>0</v>
      </c>
      <c r="AE78" s="757" t="str">
        <f t="shared" si="55"/>
        <v>413020506</v>
      </c>
      <c r="AF78" s="758" t="str">
        <f t="shared" si="56"/>
        <v>واشر فنری نبشی تقویتی میانی</v>
      </c>
      <c r="AG78" s="452" t="str">
        <f t="shared" si="57"/>
        <v>Spring Washer</v>
      </c>
      <c r="AH78" s="452" t="str">
        <f t="shared" si="62"/>
        <v>A10-F-Electroplated-Din 127</v>
      </c>
      <c r="AI78" s="679" t="s">
        <v>101</v>
      </c>
      <c r="AJ78" s="833" t="s">
        <v>106</v>
      </c>
      <c r="AK78" s="879" t="s">
        <v>484</v>
      </c>
      <c r="AL78" s="452" t="str">
        <f t="shared" si="61"/>
        <v>pcs</v>
      </c>
      <c r="AM78" s="1030">
        <f t="shared" si="37"/>
        <v>0</v>
      </c>
      <c r="AP78"/>
      <c r="AQ78"/>
      <c r="AR78"/>
      <c r="AS78"/>
      <c r="AT78"/>
      <c r="BD78" s="1120" t="str">
        <f t="shared" si="58"/>
        <v>02</v>
      </c>
      <c r="BE78" s="1121" t="str">
        <f t="shared" si="59"/>
        <v>06</v>
      </c>
      <c r="BF78" s="1121" t="str">
        <f t="shared" si="59"/>
        <v>413020506</v>
      </c>
      <c r="BG78" s="1122" t="str">
        <f t="shared" si="47"/>
        <v>Midle Drum</v>
      </c>
      <c r="BH78" s="1122">
        <f t="shared" si="47"/>
        <v>1</v>
      </c>
      <c r="BI78" s="1123">
        <f t="shared" si="48"/>
        <v>1</v>
      </c>
    </row>
    <row r="79" spans="1:67" ht="15" x14ac:dyDescent="0.25">
      <c r="A79" s="273">
        <v>72</v>
      </c>
      <c r="B79" s="122" t="s">
        <v>175</v>
      </c>
      <c r="C79" s="114" t="s">
        <v>316</v>
      </c>
      <c r="D79" s="115" t="s">
        <v>162</v>
      </c>
      <c r="E79" s="274" t="s">
        <v>8</v>
      </c>
      <c r="F79" s="114" t="s">
        <v>163</v>
      </c>
      <c r="G79" s="114">
        <v>5.6</v>
      </c>
      <c r="H79" s="114" t="s">
        <v>10</v>
      </c>
      <c r="I79" s="114" t="s">
        <v>20</v>
      </c>
      <c r="J79" s="114">
        <f>IF(E1=1500,0,IF(E1=2000,0,J73*2))</f>
        <v>0</v>
      </c>
      <c r="K79" s="114" t="s">
        <v>322</v>
      </c>
      <c r="L79" s="114">
        <f t="shared" si="63"/>
        <v>0</v>
      </c>
      <c r="M79" s="114">
        <f t="shared" si="64"/>
        <v>0</v>
      </c>
      <c r="N79" s="128">
        <f t="shared" si="60"/>
        <v>0</v>
      </c>
      <c r="O79" s="641"/>
      <c r="P79" s="447">
        <f t="shared" si="49"/>
        <v>413</v>
      </c>
      <c r="Q79" s="448" t="s">
        <v>35</v>
      </c>
      <c r="R79" s="449" t="str">
        <f t="shared" si="50"/>
        <v>Midle Drum</v>
      </c>
      <c r="S79" s="449">
        <v>1</v>
      </c>
      <c r="T79" s="609" t="s">
        <v>38</v>
      </c>
      <c r="U79" s="449" t="str">
        <f t="shared" si="51"/>
        <v>نبشی تقویتی میانی</v>
      </c>
      <c r="V79" s="679">
        <v>1</v>
      </c>
      <c r="W79" s="609" t="s">
        <v>40</v>
      </c>
      <c r="X79" s="450" t="str">
        <f t="shared" si="52"/>
        <v>413020507</v>
      </c>
      <c r="Y79" s="451" t="str">
        <f t="shared" si="53"/>
        <v>پیچ اتصال صفحه مثلثی به بدنه</v>
      </c>
      <c r="Z79" s="679" t="s">
        <v>163</v>
      </c>
      <c r="AA79" s="452">
        <f t="shared" si="54"/>
        <v>0</v>
      </c>
      <c r="AB79" s="647">
        <f t="shared" si="5"/>
        <v>0</v>
      </c>
      <c r="AC79" s="922">
        <f t="shared" si="6"/>
        <v>0</v>
      </c>
      <c r="AE79" s="757" t="str">
        <f t="shared" si="55"/>
        <v>413020507</v>
      </c>
      <c r="AF79" s="758" t="str">
        <f t="shared" si="56"/>
        <v>پیچ اتصال صفحه مثلثی به بدنه</v>
      </c>
      <c r="AG79" s="452" t="str">
        <f t="shared" si="57"/>
        <v>Hex Bolt</v>
      </c>
      <c r="AH79" s="452" t="str">
        <f t="shared" si="62"/>
        <v>M8x30-5.6-Electroplated-Din 933</v>
      </c>
      <c r="AI79" s="679" t="s">
        <v>433</v>
      </c>
      <c r="AJ79" s="833" t="s">
        <v>392</v>
      </c>
      <c r="AK79" s="879" t="s">
        <v>484</v>
      </c>
      <c r="AL79" s="452" t="str">
        <f t="shared" si="61"/>
        <v>pcs</v>
      </c>
      <c r="AM79" s="1030">
        <f t="shared" si="37"/>
        <v>0</v>
      </c>
      <c r="AP79"/>
      <c r="AQ79"/>
      <c r="AR79"/>
      <c r="AS79"/>
      <c r="AT79"/>
      <c r="BD79" s="1120" t="str">
        <f t="shared" si="58"/>
        <v>02</v>
      </c>
      <c r="BE79" s="1121" t="str">
        <f t="shared" si="59"/>
        <v>07</v>
      </c>
      <c r="BF79" s="1121" t="str">
        <f t="shared" si="59"/>
        <v>413020507</v>
      </c>
      <c r="BG79" s="1122" t="str">
        <f t="shared" si="47"/>
        <v>Midle Drum</v>
      </c>
      <c r="BH79" s="1122">
        <f t="shared" si="47"/>
        <v>1</v>
      </c>
      <c r="BI79" s="1123">
        <f t="shared" si="48"/>
        <v>1</v>
      </c>
    </row>
    <row r="80" spans="1:67" ht="15" x14ac:dyDescent="0.25">
      <c r="A80" s="273">
        <v>73</v>
      </c>
      <c r="B80" s="122" t="s">
        <v>175</v>
      </c>
      <c r="C80" s="114" t="s">
        <v>316</v>
      </c>
      <c r="D80" s="115" t="s">
        <v>164</v>
      </c>
      <c r="E80" s="274" t="s">
        <v>9</v>
      </c>
      <c r="F80" s="114" t="s">
        <v>27</v>
      </c>
      <c r="G80" s="114">
        <v>5</v>
      </c>
      <c r="H80" s="114" t="s">
        <v>10</v>
      </c>
      <c r="I80" s="114" t="s">
        <v>21</v>
      </c>
      <c r="J80" s="114">
        <f>IF(E1=1500,0,IF(E1=2000,0,J79))</f>
        <v>0</v>
      </c>
      <c r="K80" s="114" t="s">
        <v>322</v>
      </c>
      <c r="L80" s="114">
        <f t="shared" si="63"/>
        <v>0</v>
      </c>
      <c r="M80" s="114">
        <f t="shared" si="64"/>
        <v>0</v>
      </c>
      <c r="N80" s="128">
        <f t="shared" si="60"/>
        <v>0</v>
      </c>
      <c r="O80" s="641"/>
      <c r="P80" s="447">
        <f t="shared" si="49"/>
        <v>413</v>
      </c>
      <c r="Q80" s="448" t="s">
        <v>35</v>
      </c>
      <c r="R80" s="449" t="str">
        <f t="shared" si="50"/>
        <v>Midle Drum</v>
      </c>
      <c r="S80" s="449">
        <v>1</v>
      </c>
      <c r="T80" s="609" t="s">
        <v>38</v>
      </c>
      <c r="U80" s="449" t="str">
        <f t="shared" si="51"/>
        <v>نبشی تقویتی میانی</v>
      </c>
      <c r="V80" s="679">
        <v>1</v>
      </c>
      <c r="W80" s="609" t="s">
        <v>41</v>
      </c>
      <c r="X80" s="450" t="str">
        <f t="shared" si="52"/>
        <v>413020508</v>
      </c>
      <c r="Y80" s="451" t="str">
        <f t="shared" si="53"/>
        <v>مهره اتصال صفحه مثلثی به بدنه</v>
      </c>
      <c r="Z80" s="679" t="s">
        <v>340</v>
      </c>
      <c r="AA80" s="452">
        <f t="shared" si="54"/>
        <v>0</v>
      </c>
      <c r="AB80" s="647">
        <f t="shared" si="5"/>
        <v>0</v>
      </c>
      <c r="AC80" s="922">
        <f t="shared" si="6"/>
        <v>0</v>
      </c>
      <c r="AE80" s="757" t="str">
        <f t="shared" si="55"/>
        <v>413020508</v>
      </c>
      <c r="AF80" s="758" t="str">
        <f t="shared" si="56"/>
        <v>مهره اتصال صفحه مثلثی به بدنه</v>
      </c>
      <c r="AG80" s="452" t="str">
        <f t="shared" si="57"/>
        <v>Hex Nut</v>
      </c>
      <c r="AH80" s="452" t="str">
        <f t="shared" si="62"/>
        <v>M8-5-Electroplated-Din 934</v>
      </c>
      <c r="AI80" s="1137" t="s">
        <v>416</v>
      </c>
      <c r="AJ80" s="833" t="s">
        <v>110</v>
      </c>
      <c r="AK80" s="879" t="s">
        <v>484</v>
      </c>
      <c r="AL80" s="452" t="str">
        <f t="shared" si="61"/>
        <v>pcs</v>
      </c>
      <c r="AM80" s="1030">
        <f t="shared" si="37"/>
        <v>0</v>
      </c>
      <c r="AP80"/>
      <c r="AQ80"/>
      <c r="AR80"/>
      <c r="AS80"/>
      <c r="AT80"/>
      <c r="BD80" s="1120" t="str">
        <f t="shared" si="58"/>
        <v>02</v>
      </c>
      <c r="BE80" s="1121" t="str">
        <f t="shared" si="59"/>
        <v>08</v>
      </c>
      <c r="BF80" s="1121" t="str">
        <f t="shared" si="59"/>
        <v>413020508</v>
      </c>
      <c r="BG80" s="1122" t="str">
        <f t="shared" si="47"/>
        <v>Midle Drum</v>
      </c>
      <c r="BH80" s="1122">
        <f t="shared" si="47"/>
        <v>1</v>
      </c>
      <c r="BI80" s="1123">
        <f t="shared" si="48"/>
        <v>1</v>
      </c>
    </row>
    <row r="81" spans="1:61" ht="15.75" thickBot="1" x14ac:dyDescent="0.3">
      <c r="A81" s="275">
        <v>74</v>
      </c>
      <c r="B81" s="129" t="s">
        <v>175</v>
      </c>
      <c r="C81" s="130" t="s">
        <v>316</v>
      </c>
      <c r="D81" s="131" t="s">
        <v>321</v>
      </c>
      <c r="E81" s="502" t="s">
        <v>18</v>
      </c>
      <c r="F81" s="130" t="s">
        <v>28</v>
      </c>
      <c r="G81" s="130" t="s">
        <v>24</v>
      </c>
      <c r="H81" s="130" t="s">
        <v>10</v>
      </c>
      <c r="I81" s="130" t="s">
        <v>22</v>
      </c>
      <c r="J81" s="130">
        <f>IF(E1=1500,0,IF(E1=2000,0,J80))</f>
        <v>0</v>
      </c>
      <c r="K81" s="130" t="s">
        <v>322</v>
      </c>
      <c r="L81" s="130">
        <f t="shared" si="63"/>
        <v>0</v>
      </c>
      <c r="M81" s="130">
        <f t="shared" si="64"/>
        <v>0</v>
      </c>
      <c r="N81" s="132">
        <f t="shared" si="60"/>
        <v>0</v>
      </c>
      <c r="O81" s="641"/>
      <c r="P81" s="465">
        <f t="shared" si="49"/>
        <v>413</v>
      </c>
      <c r="Q81" s="466" t="s">
        <v>35</v>
      </c>
      <c r="R81" s="467" t="str">
        <f t="shared" si="50"/>
        <v>Midle Drum</v>
      </c>
      <c r="S81" s="467">
        <v>1</v>
      </c>
      <c r="T81" s="609" t="s">
        <v>38</v>
      </c>
      <c r="U81" s="467" t="str">
        <f t="shared" si="51"/>
        <v>نبشی تقویتی میانی</v>
      </c>
      <c r="V81" s="680">
        <v>1</v>
      </c>
      <c r="W81" s="609" t="s">
        <v>42</v>
      </c>
      <c r="X81" s="468" t="str">
        <f t="shared" si="52"/>
        <v>413020509</v>
      </c>
      <c r="Y81" s="469" t="str">
        <f t="shared" si="53"/>
        <v>واشر فنری صفحه مثلثی به بدنه</v>
      </c>
      <c r="Z81" s="680" t="s">
        <v>28</v>
      </c>
      <c r="AA81" s="470">
        <f t="shared" si="54"/>
        <v>0</v>
      </c>
      <c r="AB81" s="648">
        <f t="shared" si="5"/>
        <v>0</v>
      </c>
      <c r="AC81" s="923">
        <f t="shared" si="6"/>
        <v>0</v>
      </c>
      <c r="AE81" s="759" t="str">
        <f t="shared" si="55"/>
        <v>413020509</v>
      </c>
      <c r="AF81" s="760" t="str">
        <f t="shared" si="56"/>
        <v>واشر فنری صفحه مثلثی به بدنه</v>
      </c>
      <c r="AG81" s="470" t="str">
        <f t="shared" si="57"/>
        <v>Spring Washer</v>
      </c>
      <c r="AH81" s="470" t="str">
        <f t="shared" si="62"/>
        <v>A8-F-Electroplated-Din 127</v>
      </c>
      <c r="AI81" s="680" t="s">
        <v>417</v>
      </c>
      <c r="AJ81" s="834" t="s">
        <v>384</v>
      </c>
      <c r="AK81" s="880" t="s">
        <v>484</v>
      </c>
      <c r="AL81" s="470" t="str">
        <f t="shared" si="61"/>
        <v>pcs</v>
      </c>
      <c r="AM81" s="1031">
        <f t="shared" si="37"/>
        <v>0</v>
      </c>
      <c r="AP81"/>
      <c r="AQ81"/>
      <c r="AR81"/>
      <c r="AS81"/>
      <c r="AT81"/>
      <c r="BD81" s="1120" t="str">
        <f t="shared" si="58"/>
        <v>02</v>
      </c>
      <c r="BE81" s="1121" t="str">
        <f t="shared" si="59"/>
        <v>09</v>
      </c>
      <c r="BF81" s="1121" t="str">
        <f t="shared" si="59"/>
        <v>413020509</v>
      </c>
      <c r="BG81" s="1122" t="str">
        <f t="shared" si="47"/>
        <v>Midle Drum</v>
      </c>
      <c r="BH81" s="1122">
        <f t="shared" si="47"/>
        <v>1</v>
      </c>
      <c r="BI81" s="1123">
        <f t="shared" si="48"/>
        <v>1</v>
      </c>
    </row>
    <row r="82" spans="1:61" ht="15" x14ac:dyDescent="0.25">
      <c r="A82" s="1173">
        <v>75</v>
      </c>
      <c r="B82" s="1153" t="s">
        <v>178</v>
      </c>
      <c r="C82" s="1154" t="s">
        <v>155</v>
      </c>
      <c r="D82" s="1155" t="s">
        <v>115</v>
      </c>
      <c r="E82" s="1155" t="s">
        <v>3</v>
      </c>
      <c r="F82" s="1155" t="s">
        <v>527</v>
      </c>
      <c r="G82" s="1154">
        <v>1.5</v>
      </c>
      <c r="H82" s="1154">
        <v>840</v>
      </c>
      <c r="I82" s="1154">
        <v>1570</v>
      </c>
      <c r="J82" s="1154">
        <f>IF($E$1=1500,6,IF($E$1=2000,8,IF($E$1=2500,10,12)))</f>
        <v>8</v>
      </c>
      <c r="K82" s="1154" t="s">
        <v>29</v>
      </c>
      <c r="L82" s="1156">
        <f>(J82*G82*H82*I82*7.85/1000000)-(20*20*1.5*7.85*2046*J82/1000000)</f>
        <v>47.137680000000003</v>
      </c>
      <c r="M82" s="1156">
        <f>1650*1000*1.5*7.85*J82/1000000</f>
        <v>155.43</v>
      </c>
      <c r="N82" s="1152">
        <f>(M82-L82)/L82</f>
        <v>2.2973621103117505</v>
      </c>
      <c r="O82" s="641"/>
      <c r="P82" s="402">
        <f t="shared" si="49"/>
        <v>413</v>
      </c>
      <c r="Q82" s="403" t="s">
        <v>36</v>
      </c>
      <c r="R82" s="404" t="str">
        <f t="shared" si="50"/>
        <v>End Drum</v>
      </c>
      <c r="S82" s="404">
        <v>1</v>
      </c>
      <c r="T82" s="612" t="s">
        <v>34</v>
      </c>
      <c r="U82" s="404" t="str">
        <f t="shared" si="51"/>
        <v>بدنه</v>
      </c>
      <c r="V82" s="685">
        <v>1</v>
      </c>
      <c r="W82" s="612" t="s">
        <v>34</v>
      </c>
      <c r="X82" s="406" t="str">
        <f t="shared" si="52"/>
        <v>413030101</v>
      </c>
      <c r="Y82" s="407" t="str">
        <f t="shared" si="53"/>
        <v>توری پانچی</v>
      </c>
      <c r="Z82" s="685" t="s">
        <v>336</v>
      </c>
      <c r="AA82" s="405">
        <f t="shared" si="54"/>
        <v>8</v>
      </c>
      <c r="AB82" s="653">
        <f t="shared" si="5"/>
        <v>8</v>
      </c>
      <c r="AC82" s="928">
        <f t="shared" si="6"/>
        <v>8</v>
      </c>
      <c r="AE82" s="698" t="str">
        <f t="shared" si="55"/>
        <v>413030101</v>
      </c>
      <c r="AF82" s="699" t="str">
        <f t="shared" si="56"/>
        <v>توری پانچی</v>
      </c>
      <c r="AG82" s="405" t="str">
        <f t="shared" si="57"/>
        <v>Plate</v>
      </c>
      <c r="AH82" s="405" t="str">
        <f>F82</f>
        <v>St-12</v>
      </c>
      <c r="AI82" s="685" t="s">
        <v>412</v>
      </c>
      <c r="AJ82" s="849" t="s">
        <v>463</v>
      </c>
      <c r="AK82" s="885">
        <f>M82/J82</f>
        <v>19.428750000000001</v>
      </c>
      <c r="AL82" s="405" t="str">
        <f t="shared" si="61"/>
        <v>Kg</v>
      </c>
      <c r="AM82" s="1051">
        <f t="shared" si="37"/>
        <v>155.43</v>
      </c>
      <c r="AP82"/>
      <c r="AQ82"/>
      <c r="AR82"/>
      <c r="AS82"/>
      <c r="AT82"/>
      <c r="BD82" s="1120" t="str">
        <f t="shared" si="58"/>
        <v>03</v>
      </c>
      <c r="BE82" s="1121" t="str">
        <f t="shared" si="59"/>
        <v>01</v>
      </c>
      <c r="BF82" s="1121" t="str">
        <f t="shared" si="59"/>
        <v>413030101</v>
      </c>
      <c r="BG82" s="1122" t="str">
        <f t="shared" si="47"/>
        <v>End Drum</v>
      </c>
      <c r="BH82" s="1122">
        <f t="shared" si="47"/>
        <v>1</v>
      </c>
      <c r="BI82" s="1123">
        <f t="shared" si="48"/>
        <v>1</v>
      </c>
    </row>
    <row r="83" spans="1:61" ht="15" x14ac:dyDescent="0.25">
      <c r="A83" s="1171">
        <v>76</v>
      </c>
      <c r="B83" s="143" t="s">
        <v>178</v>
      </c>
      <c r="C83" s="94" t="s">
        <v>155</v>
      </c>
      <c r="D83" s="95" t="s">
        <v>306</v>
      </c>
      <c r="E83" s="95" t="s">
        <v>3</v>
      </c>
      <c r="F83" s="95" t="s">
        <v>80</v>
      </c>
      <c r="G83" s="94">
        <v>4</v>
      </c>
      <c r="H83" s="94">
        <v>131</v>
      </c>
      <c r="I83" s="94">
        <v>1900</v>
      </c>
      <c r="J83" s="94">
        <f>J82/2</f>
        <v>4</v>
      </c>
      <c r="K83" s="94" t="s">
        <v>29</v>
      </c>
      <c r="L83" s="96">
        <f>J83*G83*H83*I83*7.85/1000000</f>
        <v>31.261839999999999</v>
      </c>
      <c r="M83" s="96">
        <f>((((1250-(INT(1250/H83)*H83))/(INT(1250/H83)))+H83)*G83*I83*J83*7.85)/1000000</f>
        <v>33.144444444444439</v>
      </c>
      <c r="N83" s="97">
        <f>(M83-L83)/L83</f>
        <v>6.0220525869380662E-2</v>
      </c>
      <c r="O83" s="641"/>
      <c r="P83" s="408">
        <f t="shared" si="49"/>
        <v>413</v>
      </c>
      <c r="Q83" s="409" t="s">
        <v>36</v>
      </c>
      <c r="R83" s="410" t="str">
        <f t="shared" si="50"/>
        <v>End Drum</v>
      </c>
      <c r="S83" s="410">
        <v>1</v>
      </c>
      <c r="T83" s="613" t="s">
        <v>34</v>
      </c>
      <c r="U83" s="410" t="str">
        <f t="shared" si="51"/>
        <v>بدنه</v>
      </c>
      <c r="V83" s="686">
        <v>1</v>
      </c>
      <c r="W83" s="613" t="s">
        <v>35</v>
      </c>
      <c r="X83" s="412" t="str">
        <f t="shared" si="52"/>
        <v>413030102</v>
      </c>
      <c r="Y83" s="413" t="str">
        <f t="shared" si="53"/>
        <v>ناودانی انتهایی بدنه</v>
      </c>
      <c r="Z83" s="686" t="s">
        <v>337</v>
      </c>
      <c r="AA83" s="411">
        <f t="shared" si="54"/>
        <v>4</v>
      </c>
      <c r="AB83" s="654">
        <f t="shared" si="5"/>
        <v>4</v>
      </c>
      <c r="AC83" s="929">
        <f t="shared" si="6"/>
        <v>4</v>
      </c>
      <c r="AE83" s="700" t="str">
        <f t="shared" si="55"/>
        <v>413030102</v>
      </c>
      <c r="AF83" s="701" t="str">
        <f t="shared" si="56"/>
        <v>ناودانی انتهایی بدنه</v>
      </c>
      <c r="AG83" s="411" t="str">
        <f t="shared" si="57"/>
        <v>Plate</v>
      </c>
      <c r="AH83" s="411" t="str">
        <f>F83</f>
        <v>St-37</v>
      </c>
      <c r="AI83" s="686" t="s">
        <v>413</v>
      </c>
      <c r="AJ83" s="841" t="s">
        <v>464</v>
      </c>
      <c r="AK83" s="886">
        <f t="shared" ref="AK83:AK86" si="65">M83/J83</f>
        <v>8.2861111111111097</v>
      </c>
      <c r="AL83" s="411" t="str">
        <f t="shared" si="61"/>
        <v>Kg</v>
      </c>
      <c r="AM83" s="1052">
        <f t="shared" si="37"/>
        <v>33.144444444444439</v>
      </c>
      <c r="AP83"/>
      <c r="AQ83"/>
      <c r="AR83"/>
      <c r="AS83"/>
      <c r="AT83"/>
      <c r="BD83" s="1120" t="str">
        <f t="shared" si="58"/>
        <v>03</v>
      </c>
      <c r="BE83" s="1121" t="str">
        <f t="shared" si="59"/>
        <v>02</v>
      </c>
      <c r="BF83" s="1121" t="str">
        <f t="shared" si="59"/>
        <v>413030102</v>
      </c>
      <c r="BG83" s="1122" t="str">
        <f t="shared" si="47"/>
        <v>End Drum</v>
      </c>
      <c r="BH83" s="1122">
        <f t="shared" si="47"/>
        <v>1</v>
      </c>
      <c r="BI83" s="1123">
        <f t="shared" si="48"/>
        <v>1</v>
      </c>
    </row>
    <row r="84" spans="1:61" ht="15" x14ac:dyDescent="0.25">
      <c r="A84" s="1171">
        <v>77</v>
      </c>
      <c r="B84" s="143" t="s">
        <v>178</v>
      </c>
      <c r="C84" s="94" t="s">
        <v>155</v>
      </c>
      <c r="D84" s="95" t="s">
        <v>120</v>
      </c>
      <c r="E84" s="95" t="s">
        <v>3</v>
      </c>
      <c r="F84" s="95" t="s">
        <v>80</v>
      </c>
      <c r="G84" s="94">
        <v>4</v>
      </c>
      <c r="H84" s="94">
        <v>131</v>
      </c>
      <c r="I84" s="94">
        <v>1900</v>
      </c>
      <c r="J84" s="94">
        <f>J83</f>
        <v>4</v>
      </c>
      <c r="K84" s="94" t="s">
        <v>29</v>
      </c>
      <c r="L84" s="96">
        <f>J84*G84*H84*I84*7.85/1000000</f>
        <v>31.261839999999999</v>
      </c>
      <c r="M84" s="96">
        <f>((((1250-(INT(1250/H84)*H84))/(INT(1250/H84)))+H84)*G84*I84*J84*7.85)/1000000</f>
        <v>33.144444444444439</v>
      </c>
      <c r="N84" s="97">
        <f>(M84-L84)/L84</f>
        <v>6.0220525869380662E-2</v>
      </c>
      <c r="O84" s="641"/>
      <c r="P84" s="408">
        <f t="shared" si="49"/>
        <v>413</v>
      </c>
      <c r="Q84" s="409" t="s">
        <v>36</v>
      </c>
      <c r="R84" s="410" t="str">
        <f t="shared" si="50"/>
        <v>End Drum</v>
      </c>
      <c r="S84" s="410">
        <v>1</v>
      </c>
      <c r="T84" s="613" t="s">
        <v>34</v>
      </c>
      <c r="U84" s="410" t="str">
        <f t="shared" si="51"/>
        <v>بدنه</v>
      </c>
      <c r="V84" s="686">
        <v>1</v>
      </c>
      <c r="W84" s="613" t="s">
        <v>36</v>
      </c>
      <c r="X84" s="412" t="str">
        <f t="shared" si="52"/>
        <v>413030103</v>
      </c>
      <c r="Y84" s="413" t="str">
        <f t="shared" si="53"/>
        <v>ناودانی میانی بدنه</v>
      </c>
      <c r="Z84" s="686" t="s">
        <v>356</v>
      </c>
      <c r="AA84" s="411">
        <f t="shared" si="54"/>
        <v>4</v>
      </c>
      <c r="AB84" s="654">
        <f t="shared" si="5"/>
        <v>4</v>
      </c>
      <c r="AC84" s="929">
        <f t="shared" si="6"/>
        <v>4</v>
      </c>
      <c r="AE84" s="700" t="str">
        <f t="shared" si="55"/>
        <v>413030103</v>
      </c>
      <c r="AF84" s="701" t="str">
        <f t="shared" si="56"/>
        <v>ناودانی میانی بدنه</v>
      </c>
      <c r="AG84" s="411" t="str">
        <f t="shared" si="57"/>
        <v>Plate</v>
      </c>
      <c r="AH84" s="411" t="str">
        <f>F84</f>
        <v>St-37</v>
      </c>
      <c r="AI84" s="686" t="s">
        <v>413</v>
      </c>
      <c r="AJ84" s="841" t="s">
        <v>464</v>
      </c>
      <c r="AK84" s="886">
        <f t="shared" si="65"/>
        <v>8.2861111111111097</v>
      </c>
      <c r="AL84" s="411" t="str">
        <f t="shared" si="61"/>
        <v>Kg</v>
      </c>
      <c r="AM84" s="1052">
        <f t="shared" si="37"/>
        <v>33.144444444444439</v>
      </c>
      <c r="AP84"/>
      <c r="AQ84"/>
      <c r="AR84"/>
      <c r="AS84"/>
      <c r="AT84"/>
      <c r="BD84" s="1120" t="str">
        <f t="shared" si="58"/>
        <v>03</v>
      </c>
      <c r="BE84" s="1121" t="str">
        <f t="shared" si="59"/>
        <v>03</v>
      </c>
      <c r="BF84" s="1121" t="str">
        <f t="shared" si="59"/>
        <v>413030103</v>
      </c>
      <c r="BG84" s="1122" t="str">
        <f t="shared" si="47"/>
        <v>End Drum</v>
      </c>
      <c r="BH84" s="1122">
        <f t="shared" si="47"/>
        <v>1</v>
      </c>
      <c r="BI84" s="1123">
        <f t="shared" si="48"/>
        <v>1</v>
      </c>
    </row>
    <row r="85" spans="1:61" ht="15" x14ac:dyDescent="0.25">
      <c r="A85" s="1171">
        <v>78</v>
      </c>
      <c r="B85" s="143" t="s">
        <v>178</v>
      </c>
      <c r="C85" s="94" t="s">
        <v>155</v>
      </c>
      <c r="D85" s="95" t="s">
        <v>121</v>
      </c>
      <c r="E85" s="95" t="s">
        <v>3</v>
      </c>
      <c r="F85" s="95" t="s">
        <v>80</v>
      </c>
      <c r="G85" s="94">
        <v>4</v>
      </c>
      <c r="H85" s="94">
        <v>73</v>
      </c>
      <c r="I85" s="94">
        <v>1570</v>
      </c>
      <c r="J85" s="94">
        <f>J82</f>
        <v>8</v>
      </c>
      <c r="K85" s="94" t="s">
        <v>29</v>
      </c>
      <c r="L85" s="96">
        <f>J85*G85*H85*I85*7.85/1000000</f>
        <v>28.790032</v>
      </c>
      <c r="M85" s="96">
        <f>((((1250-(INT(1250/H85)*H85))/(INT(1250/H85)))+H85)*G85*I85*J85*7.85)/1000000</f>
        <v>28.998823529411762</v>
      </c>
      <c r="N85" s="97">
        <f>IF(H85="N/A",0,(M85-L85)/L85)</f>
        <v>7.2522159548750117E-3</v>
      </c>
      <c r="O85" s="641"/>
      <c r="P85" s="408">
        <f t="shared" si="49"/>
        <v>413</v>
      </c>
      <c r="Q85" s="409" t="s">
        <v>36</v>
      </c>
      <c r="R85" s="410" t="str">
        <f t="shared" si="50"/>
        <v>End Drum</v>
      </c>
      <c r="S85" s="410">
        <v>1</v>
      </c>
      <c r="T85" s="613" t="s">
        <v>34</v>
      </c>
      <c r="U85" s="410" t="str">
        <f t="shared" si="51"/>
        <v>بدنه</v>
      </c>
      <c r="V85" s="686">
        <v>1</v>
      </c>
      <c r="W85" s="613" t="s">
        <v>37</v>
      </c>
      <c r="X85" s="412" t="str">
        <f t="shared" si="52"/>
        <v>413030104</v>
      </c>
      <c r="Y85" s="413" t="str">
        <f t="shared" si="53"/>
        <v>نبشی بدنه</v>
      </c>
      <c r="Z85" s="686" t="s">
        <v>338</v>
      </c>
      <c r="AA85" s="411">
        <f t="shared" si="54"/>
        <v>8</v>
      </c>
      <c r="AB85" s="654">
        <f t="shared" si="5"/>
        <v>8</v>
      </c>
      <c r="AC85" s="929">
        <f t="shared" si="6"/>
        <v>8</v>
      </c>
      <c r="AE85" s="700" t="str">
        <f t="shared" si="55"/>
        <v>413030104</v>
      </c>
      <c r="AF85" s="701" t="str">
        <f t="shared" si="56"/>
        <v>نبشی بدنه</v>
      </c>
      <c r="AG85" s="411" t="str">
        <f t="shared" si="57"/>
        <v>Plate</v>
      </c>
      <c r="AH85" s="411" t="str">
        <f>F85</f>
        <v>St-37</v>
      </c>
      <c r="AI85" s="686" t="s">
        <v>413</v>
      </c>
      <c r="AJ85" s="841" t="s">
        <v>464</v>
      </c>
      <c r="AK85" s="886">
        <f t="shared" si="65"/>
        <v>3.6248529411764703</v>
      </c>
      <c r="AL85" s="411" t="str">
        <f t="shared" si="61"/>
        <v>Kg</v>
      </c>
      <c r="AM85" s="1052">
        <f t="shared" si="37"/>
        <v>28.998823529411762</v>
      </c>
      <c r="AP85"/>
      <c r="AQ85"/>
      <c r="AR85"/>
      <c r="AS85"/>
      <c r="AT85"/>
      <c r="BD85" s="1120" t="str">
        <f t="shared" si="58"/>
        <v>03</v>
      </c>
      <c r="BE85" s="1121" t="str">
        <f t="shared" si="59"/>
        <v>04</v>
      </c>
      <c r="BF85" s="1121" t="str">
        <f t="shared" si="59"/>
        <v>413030104</v>
      </c>
      <c r="BG85" s="1122" t="str">
        <f t="shared" si="47"/>
        <v>End Drum</v>
      </c>
      <c r="BH85" s="1122">
        <f t="shared" si="47"/>
        <v>1</v>
      </c>
      <c r="BI85" s="1123">
        <f t="shared" si="48"/>
        <v>1</v>
      </c>
    </row>
    <row r="86" spans="1:61" ht="15" x14ac:dyDescent="0.25">
      <c r="A86" s="1171">
        <v>79</v>
      </c>
      <c r="B86" s="143" t="s">
        <v>178</v>
      </c>
      <c r="C86" s="94" t="s">
        <v>155</v>
      </c>
      <c r="D86" s="95" t="s">
        <v>122</v>
      </c>
      <c r="E86" s="95" t="s">
        <v>3</v>
      </c>
      <c r="F86" s="95" t="s">
        <v>4</v>
      </c>
      <c r="G86" s="94">
        <v>2</v>
      </c>
      <c r="H86" s="94">
        <v>67</v>
      </c>
      <c r="I86" s="94">
        <v>1800</v>
      </c>
      <c r="J86" s="94">
        <f>J83</f>
        <v>4</v>
      </c>
      <c r="K86" s="94" t="s">
        <v>29</v>
      </c>
      <c r="L86" s="96">
        <f>J86*G86*H86*I86*7.85/1000000</f>
        <v>7.5736800000000004</v>
      </c>
      <c r="M86" s="96">
        <f>((((1000-(INT(1000/H86)*H86))/(INT(1000/H86)))+H86)*G86*I86*J86*7.85)/1000000</f>
        <v>8.0742857142857147</v>
      </c>
      <c r="N86" s="97">
        <f>(M86-L86)/L86</f>
        <v>6.6098081023454158E-2</v>
      </c>
      <c r="O86" s="641"/>
      <c r="P86" s="408">
        <f t="shared" si="49"/>
        <v>413</v>
      </c>
      <c r="Q86" s="409" t="s">
        <v>36</v>
      </c>
      <c r="R86" s="410" t="str">
        <f t="shared" si="50"/>
        <v>End Drum</v>
      </c>
      <c r="S86" s="410">
        <v>1</v>
      </c>
      <c r="T86" s="613" t="s">
        <v>34</v>
      </c>
      <c r="U86" s="410" t="str">
        <f t="shared" si="51"/>
        <v>بدنه</v>
      </c>
      <c r="V86" s="686">
        <v>1</v>
      </c>
      <c r="W86" s="613" t="s">
        <v>38</v>
      </c>
      <c r="X86" s="412" t="str">
        <f t="shared" si="52"/>
        <v>413030105</v>
      </c>
      <c r="Y86" s="413" t="str">
        <f t="shared" si="53"/>
        <v>ناودانی تقویتی</v>
      </c>
      <c r="Z86" s="686" t="s">
        <v>339</v>
      </c>
      <c r="AA86" s="411">
        <f t="shared" si="54"/>
        <v>4</v>
      </c>
      <c r="AB86" s="654">
        <f t="shared" ref="AB86:AB149" si="66">AA86*V86</f>
        <v>4</v>
      </c>
      <c r="AC86" s="929">
        <f t="shared" ref="AC86:AC149" si="67">AB86*S86</f>
        <v>4</v>
      </c>
      <c r="AE86" s="700" t="str">
        <f t="shared" si="55"/>
        <v>413030105</v>
      </c>
      <c r="AF86" s="701" t="str">
        <f t="shared" si="56"/>
        <v>ناودانی تقویتی</v>
      </c>
      <c r="AG86" s="411" t="str">
        <f t="shared" si="57"/>
        <v>Plate</v>
      </c>
      <c r="AH86" s="411" t="str">
        <f>F86</f>
        <v>H.D.G</v>
      </c>
      <c r="AI86" s="686" t="s">
        <v>414</v>
      </c>
      <c r="AJ86" s="842" t="s">
        <v>465</v>
      </c>
      <c r="AK86" s="886">
        <f t="shared" si="65"/>
        <v>2.0185714285714287</v>
      </c>
      <c r="AL86" s="411" t="str">
        <f t="shared" si="61"/>
        <v>Kg</v>
      </c>
      <c r="AM86" s="1052">
        <f t="shared" si="37"/>
        <v>8.0742857142857147</v>
      </c>
      <c r="AP86"/>
      <c r="AQ86"/>
      <c r="AR86"/>
      <c r="AS86"/>
      <c r="BD86" s="1120" t="str">
        <f t="shared" si="58"/>
        <v>03</v>
      </c>
      <c r="BE86" s="1121" t="str">
        <f t="shared" si="59"/>
        <v>05</v>
      </c>
      <c r="BF86" s="1121" t="str">
        <f t="shared" si="59"/>
        <v>413030105</v>
      </c>
      <c r="BG86" s="1122" t="str">
        <f t="shared" si="47"/>
        <v>End Drum</v>
      </c>
      <c r="BH86" s="1122">
        <f t="shared" si="47"/>
        <v>1</v>
      </c>
      <c r="BI86" s="1123">
        <f t="shared" si="48"/>
        <v>1</v>
      </c>
    </row>
    <row r="87" spans="1:61" ht="15" x14ac:dyDescent="0.25">
      <c r="A87" s="1171">
        <v>80</v>
      </c>
      <c r="B87" s="143" t="s">
        <v>178</v>
      </c>
      <c r="C87" s="94" t="s">
        <v>155</v>
      </c>
      <c r="D87" s="95" t="s">
        <v>123</v>
      </c>
      <c r="E87" s="95" t="s">
        <v>8</v>
      </c>
      <c r="F87" s="95" t="s">
        <v>26</v>
      </c>
      <c r="G87" s="94">
        <v>5.6</v>
      </c>
      <c r="H87" s="94" t="s">
        <v>10</v>
      </c>
      <c r="I87" s="94" t="s">
        <v>20</v>
      </c>
      <c r="J87" s="94">
        <f>11*J83</f>
        <v>44</v>
      </c>
      <c r="K87" s="94" t="s">
        <v>30</v>
      </c>
      <c r="L87" s="94">
        <f>J87</f>
        <v>44</v>
      </c>
      <c r="M87" s="142">
        <f>J87</f>
        <v>44</v>
      </c>
      <c r="N87" s="97">
        <f>(M87-L87)/L87</f>
        <v>0</v>
      </c>
      <c r="O87" s="641"/>
      <c r="P87" s="408">
        <f t="shared" si="49"/>
        <v>413</v>
      </c>
      <c r="Q87" s="409" t="s">
        <v>36</v>
      </c>
      <c r="R87" s="410" t="str">
        <f t="shared" si="50"/>
        <v>End Drum</v>
      </c>
      <c r="S87" s="410">
        <v>1</v>
      </c>
      <c r="T87" s="613" t="s">
        <v>34</v>
      </c>
      <c r="U87" s="410" t="str">
        <f t="shared" si="51"/>
        <v>بدنه</v>
      </c>
      <c r="V87" s="686">
        <v>1</v>
      </c>
      <c r="W87" s="613" t="s">
        <v>39</v>
      </c>
      <c r="X87" s="412" t="str">
        <f t="shared" si="52"/>
        <v>413030106</v>
      </c>
      <c r="Y87" s="413" t="str">
        <f t="shared" si="53"/>
        <v>پیچ اتصال کپه ها</v>
      </c>
      <c r="Z87" s="686" t="s">
        <v>26</v>
      </c>
      <c r="AA87" s="411">
        <f t="shared" si="54"/>
        <v>44</v>
      </c>
      <c r="AB87" s="654">
        <f t="shared" si="66"/>
        <v>44</v>
      </c>
      <c r="AC87" s="929">
        <f t="shared" si="67"/>
        <v>44</v>
      </c>
      <c r="AE87" s="700" t="str">
        <f t="shared" si="55"/>
        <v>413030106</v>
      </c>
      <c r="AF87" s="701" t="str">
        <f t="shared" si="56"/>
        <v>پیچ اتصال کپه ها</v>
      </c>
      <c r="AG87" s="411" t="str">
        <f t="shared" si="57"/>
        <v>Hex Bolt</v>
      </c>
      <c r="AH87" s="411" t="str">
        <f t="shared" si="62"/>
        <v>M8x20-5.6-Electroplated-Din 933</v>
      </c>
      <c r="AI87" s="686" t="s">
        <v>415</v>
      </c>
      <c r="AJ87" s="841" t="s">
        <v>109</v>
      </c>
      <c r="AK87" s="886" t="s">
        <v>484</v>
      </c>
      <c r="AL87" s="411" t="str">
        <f t="shared" si="61"/>
        <v>Pcs</v>
      </c>
      <c r="AM87" s="1052">
        <f t="shared" si="37"/>
        <v>44</v>
      </c>
      <c r="AP87"/>
      <c r="AQ87"/>
      <c r="AR87"/>
      <c r="AS87"/>
      <c r="BD87" s="1120" t="str">
        <f t="shared" si="58"/>
        <v>03</v>
      </c>
      <c r="BE87" s="1121" t="str">
        <f t="shared" si="59"/>
        <v>06</v>
      </c>
      <c r="BF87" s="1121" t="str">
        <f t="shared" si="59"/>
        <v>413030106</v>
      </c>
      <c r="BG87" s="1122" t="str">
        <f t="shared" si="47"/>
        <v>End Drum</v>
      </c>
      <c r="BH87" s="1122">
        <f t="shared" si="47"/>
        <v>1</v>
      </c>
      <c r="BI87" s="1123">
        <f t="shared" si="48"/>
        <v>1</v>
      </c>
    </row>
    <row r="88" spans="1:61" ht="15" x14ac:dyDescent="0.25">
      <c r="A88" s="1171">
        <v>81</v>
      </c>
      <c r="B88" s="143" t="s">
        <v>178</v>
      </c>
      <c r="C88" s="94" t="s">
        <v>155</v>
      </c>
      <c r="D88" s="95" t="s">
        <v>124</v>
      </c>
      <c r="E88" s="95" t="s">
        <v>9</v>
      </c>
      <c r="F88" s="95" t="s">
        <v>5</v>
      </c>
      <c r="G88" s="94">
        <v>5</v>
      </c>
      <c r="H88" s="94" t="s">
        <v>10</v>
      </c>
      <c r="I88" s="94" t="s">
        <v>21</v>
      </c>
      <c r="J88" s="94">
        <f>J87</f>
        <v>44</v>
      </c>
      <c r="K88" s="94" t="s">
        <v>30</v>
      </c>
      <c r="L88" s="94">
        <f>J88</f>
        <v>44</v>
      </c>
      <c r="M88" s="142">
        <f>J88</f>
        <v>44</v>
      </c>
      <c r="N88" s="97">
        <f t="shared" ref="N88:N117" si="68">(M88-L88)/L88</f>
        <v>0</v>
      </c>
      <c r="O88" s="641"/>
      <c r="P88" s="408">
        <f t="shared" si="49"/>
        <v>413</v>
      </c>
      <c r="Q88" s="409" t="s">
        <v>36</v>
      </c>
      <c r="R88" s="410" t="str">
        <f t="shared" si="50"/>
        <v>End Drum</v>
      </c>
      <c r="S88" s="410">
        <v>1</v>
      </c>
      <c r="T88" s="613" t="s">
        <v>34</v>
      </c>
      <c r="U88" s="410" t="str">
        <f t="shared" si="51"/>
        <v>بدنه</v>
      </c>
      <c r="V88" s="686">
        <v>1</v>
      </c>
      <c r="W88" s="613" t="s">
        <v>40</v>
      </c>
      <c r="X88" s="412" t="str">
        <f t="shared" si="52"/>
        <v>413030107</v>
      </c>
      <c r="Y88" s="413" t="str">
        <f t="shared" si="53"/>
        <v>مهره اتصال کپه ها</v>
      </c>
      <c r="Z88" s="686" t="s">
        <v>497</v>
      </c>
      <c r="AA88" s="411">
        <f t="shared" si="54"/>
        <v>44</v>
      </c>
      <c r="AB88" s="654">
        <f t="shared" si="66"/>
        <v>44</v>
      </c>
      <c r="AC88" s="929">
        <f t="shared" si="67"/>
        <v>44</v>
      </c>
      <c r="AE88" s="700" t="str">
        <f t="shared" si="55"/>
        <v>413030107</v>
      </c>
      <c r="AF88" s="701" t="str">
        <f t="shared" si="56"/>
        <v>مهره اتصال کپه ها</v>
      </c>
      <c r="AG88" s="411" t="str">
        <f t="shared" si="57"/>
        <v>Hex Nut</v>
      </c>
      <c r="AH88" s="411" t="str">
        <f t="shared" si="62"/>
        <v>M6-5-Electroplated-Din 934</v>
      </c>
      <c r="AI88" s="686" t="s">
        <v>424</v>
      </c>
      <c r="AJ88" s="841" t="s">
        <v>104</v>
      </c>
      <c r="AK88" s="886" t="s">
        <v>484</v>
      </c>
      <c r="AL88" s="411" t="str">
        <f t="shared" si="61"/>
        <v>Pcs</v>
      </c>
      <c r="AM88" s="1052">
        <f t="shared" si="37"/>
        <v>44</v>
      </c>
      <c r="AP88"/>
      <c r="AQ88"/>
      <c r="AR88"/>
      <c r="AS88"/>
      <c r="BD88" s="1120" t="str">
        <f t="shared" si="58"/>
        <v>03</v>
      </c>
      <c r="BE88" s="1121" t="str">
        <f t="shared" si="59"/>
        <v>07</v>
      </c>
      <c r="BF88" s="1121" t="str">
        <f t="shared" si="59"/>
        <v>413030107</v>
      </c>
      <c r="BG88" s="1122" t="str">
        <f t="shared" si="47"/>
        <v>End Drum</v>
      </c>
      <c r="BH88" s="1122">
        <f t="shared" si="47"/>
        <v>1</v>
      </c>
      <c r="BI88" s="1123">
        <f t="shared" si="48"/>
        <v>1</v>
      </c>
    </row>
    <row r="89" spans="1:61" ht="15.75" thickBot="1" x14ac:dyDescent="0.3">
      <c r="A89" s="1172">
        <v>82</v>
      </c>
      <c r="B89" s="145" t="s">
        <v>178</v>
      </c>
      <c r="C89" s="99" t="s">
        <v>155</v>
      </c>
      <c r="D89" s="100" t="s">
        <v>125</v>
      </c>
      <c r="E89" s="100" t="s">
        <v>18</v>
      </c>
      <c r="F89" s="100" t="s">
        <v>28</v>
      </c>
      <c r="G89" s="99" t="s">
        <v>24</v>
      </c>
      <c r="H89" s="99" t="s">
        <v>10</v>
      </c>
      <c r="I89" s="99" t="s">
        <v>22</v>
      </c>
      <c r="J89" s="99">
        <f>J88</f>
        <v>44</v>
      </c>
      <c r="K89" s="99" t="s">
        <v>30</v>
      </c>
      <c r="L89" s="99">
        <f>J89</f>
        <v>44</v>
      </c>
      <c r="M89" s="501">
        <f>J89</f>
        <v>44</v>
      </c>
      <c r="N89" s="101">
        <f t="shared" si="68"/>
        <v>0</v>
      </c>
      <c r="O89" s="641"/>
      <c r="P89" s="414">
        <f t="shared" si="49"/>
        <v>413</v>
      </c>
      <c r="Q89" s="415" t="s">
        <v>36</v>
      </c>
      <c r="R89" s="416" t="str">
        <f t="shared" si="50"/>
        <v>End Drum</v>
      </c>
      <c r="S89" s="416">
        <v>1</v>
      </c>
      <c r="T89" s="938" t="s">
        <v>34</v>
      </c>
      <c r="U89" s="416" t="str">
        <f t="shared" si="51"/>
        <v>بدنه</v>
      </c>
      <c r="V89" s="939">
        <v>1</v>
      </c>
      <c r="W89" s="938" t="s">
        <v>41</v>
      </c>
      <c r="X89" s="418" t="str">
        <f t="shared" si="52"/>
        <v>413030108</v>
      </c>
      <c r="Y89" s="419" t="str">
        <f t="shared" si="53"/>
        <v>واشر فنری اتصال کپه ها</v>
      </c>
      <c r="Z89" s="939" t="s">
        <v>28</v>
      </c>
      <c r="AA89" s="417">
        <f t="shared" si="54"/>
        <v>44</v>
      </c>
      <c r="AB89" s="940">
        <f t="shared" si="66"/>
        <v>44</v>
      </c>
      <c r="AC89" s="941">
        <f t="shared" si="67"/>
        <v>44</v>
      </c>
      <c r="AE89" s="769" t="str">
        <f t="shared" si="55"/>
        <v>413030108</v>
      </c>
      <c r="AF89" s="770" t="str">
        <f t="shared" si="56"/>
        <v>واشر فنری اتصال کپه ها</v>
      </c>
      <c r="AG89" s="504" t="str">
        <f t="shared" si="57"/>
        <v>Spring Washer</v>
      </c>
      <c r="AH89" s="504" t="str">
        <f t="shared" si="62"/>
        <v>A8-F-Electroplated-Din 127</v>
      </c>
      <c r="AI89" s="687" t="s">
        <v>417</v>
      </c>
      <c r="AJ89" s="843" t="s">
        <v>384</v>
      </c>
      <c r="AK89" s="887" t="s">
        <v>484</v>
      </c>
      <c r="AL89" s="504" t="str">
        <f t="shared" si="61"/>
        <v>Pcs</v>
      </c>
      <c r="AM89" s="1053">
        <f t="shared" si="37"/>
        <v>44</v>
      </c>
      <c r="AP89"/>
      <c r="AQ89"/>
      <c r="AR89"/>
      <c r="AS89"/>
      <c r="BD89" s="1120" t="str">
        <f t="shared" si="58"/>
        <v>03</v>
      </c>
      <c r="BE89" s="1121" t="str">
        <f t="shared" si="59"/>
        <v>08</v>
      </c>
      <c r="BF89" s="1121" t="str">
        <f t="shared" si="59"/>
        <v>413030108</v>
      </c>
      <c r="BG89" s="1122" t="str">
        <f t="shared" si="47"/>
        <v>End Drum</v>
      </c>
      <c r="BH89" s="1122">
        <f t="shared" si="47"/>
        <v>1</v>
      </c>
      <c r="BI89" s="1123">
        <f t="shared" si="48"/>
        <v>1</v>
      </c>
    </row>
    <row r="90" spans="1:61" ht="15" x14ac:dyDescent="0.25">
      <c r="A90" s="1170">
        <v>83</v>
      </c>
      <c r="B90" s="260" t="s">
        <v>178</v>
      </c>
      <c r="C90" s="261" t="s">
        <v>126</v>
      </c>
      <c r="D90" s="262" t="s">
        <v>127</v>
      </c>
      <c r="E90" s="262" t="s">
        <v>128</v>
      </c>
      <c r="F90" s="262" t="s">
        <v>232</v>
      </c>
      <c r="G90" s="261" t="s">
        <v>2</v>
      </c>
      <c r="H90" s="261" t="s">
        <v>2</v>
      </c>
      <c r="I90" s="261">
        <v>1700</v>
      </c>
      <c r="J90" s="261">
        <f>J83</f>
        <v>4</v>
      </c>
      <c r="K90" s="261" t="s">
        <v>30</v>
      </c>
      <c r="L90" s="261">
        <f>J90</f>
        <v>4</v>
      </c>
      <c r="M90" s="299">
        <f>J90</f>
        <v>4</v>
      </c>
      <c r="N90" s="263">
        <f t="shared" si="68"/>
        <v>0</v>
      </c>
      <c r="O90" s="641"/>
      <c r="P90" s="373">
        <f t="shared" si="49"/>
        <v>413</v>
      </c>
      <c r="Q90" s="374" t="s">
        <v>36</v>
      </c>
      <c r="R90" s="375" t="str">
        <f t="shared" si="50"/>
        <v>End Drum</v>
      </c>
      <c r="S90" s="375">
        <v>1</v>
      </c>
      <c r="T90" s="614" t="s">
        <v>35</v>
      </c>
      <c r="U90" s="375" t="str">
        <f t="shared" si="51"/>
        <v>نوار خاردار</v>
      </c>
      <c r="V90" s="688">
        <v>1</v>
      </c>
      <c r="W90" s="614" t="s">
        <v>34</v>
      </c>
      <c r="X90" s="377" t="str">
        <f t="shared" si="52"/>
        <v>413030201</v>
      </c>
      <c r="Y90" s="378" t="str">
        <f t="shared" si="53"/>
        <v>تسمه نوار خاردار</v>
      </c>
      <c r="Z90" s="688" t="s">
        <v>341</v>
      </c>
      <c r="AA90" s="376">
        <f t="shared" si="54"/>
        <v>4</v>
      </c>
      <c r="AB90" s="655">
        <f t="shared" si="66"/>
        <v>4</v>
      </c>
      <c r="AC90" s="944">
        <f t="shared" si="67"/>
        <v>4</v>
      </c>
      <c r="AE90" s="742" t="str">
        <f t="shared" si="55"/>
        <v>413030201</v>
      </c>
      <c r="AF90" s="743" t="str">
        <f t="shared" si="56"/>
        <v>تسمه نوار خاردار</v>
      </c>
      <c r="AG90" s="376" t="str">
        <f t="shared" si="57"/>
        <v>Flat Bar</v>
      </c>
      <c r="AH90" s="376" t="str">
        <f>F90</f>
        <v>A-36</v>
      </c>
      <c r="AI90" s="1147" t="s">
        <v>498</v>
      </c>
      <c r="AJ90" s="1144" t="s">
        <v>466</v>
      </c>
      <c r="AK90" s="888" t="s">
        <v>484</v>
      </c>
      <c r="AL90" s="376" t="str">
        <f t="shared" si="61"/>
        <v>Pcs</v>
      </c>
      <c r="AM90" s="1055">
        <f t="shared" si="37"/>
        <v>4</v>
      </c>
      <c r="AP90"/>
      <c r="AQ90"/>
      <c r="AR90"/>
      <c r="AS90"/>
      <c r="BD90" s="1120" t="str">
        <f t="shared" si="58"/>
        <v>03</v>
      </c>
      <c r="BE90" s="1121" t="str">
        <f t="shared" si="59"/>
        <v>01</v>
      </c>
      <c r="BF90" s="1121" t="str">
        <f t="shared" si="59"/>
        <v>413030201</v>
      </c>
      <c r="BG90" s="1122" t="str">
        <f t="shared" si="47"/>
        <v>End Drum</v>
      </c>
      <c r="BH90" s="1122">
        <f t="shared" si="47"/>
        <v>1</v>
      </c>
      <c r="BI90" s="1123">
        <f t="shared" si="48"/>
        <v>1</v>
      </c>
    </row>
    <row r="91" spans="1:61" ht="15" x14ac:dyDescent="0.25">
      <c r="A91" s="1171">
        <v>84</v>
      </c>
      <c r="B91" s="151" t="s">
        <v>178</v>
      </c>
      <c r="C91" s="86" t="s">
        <v>126</v>
      </c>
      <c r="D91" s="87" t="s">
        <v>129</v>
      </c>
      <c r="E91" s="87" t="s">
        <v>3</v>
      </c>
      <c r="F91" s="87" t="s">
        <v>527</v>
      </c>
      <c r="G91" s="86">
        <v>1.5</v>
      </c>
      <c r="H91" s="86">
        <v>30</v>
      </c>
      <c r="I91" s="86">
        <v>1700</v>
      </c>
      <c r="J91" s="86">
        <f>J90</f>
        <v>4</v>
      </c>
      <c r="K91" s="86" t="s">
        <v>29</v>
      </c>
      <c r="L91" s="88">
        <f>G91*H91*I91*J91*7.85/1000000</f>
        <v>2.4020999999999999</v>
      </c>
      <c r="M91" s="146">
        <f>((((1000-(INT(1000/H91)*H91))/(INT(1000/H91)))+H91)*G91*I91*J91*7.85)/1000000</f>
        <v>2.4263636363636363</v>
      </c>
      <c r="N91" s="89">
        <f t="shared" si="68"/>
        <v>1.0101010101010107E-2</v>
      </c>
      <c r="O91" s="641"/>
      <c r="P91" s="379">
        <f t="shared" si="49"/>
        <v>413</v>
      </c>
      <c r="Q91" s="380" t="s">
        <v>36</v>
      </c>
      <c r="R91" s="381" t="str">
        <f t="shared" si="50"/>
        <v>End Drum</v>
      </c>
      <c r="S91" s="381">
        <v>1</v>
      </c>
      <c r="T91" s="615" t="s">
        <v>35</v>
      </c>
      <c r="U91" s="381" t="str">
        <f t="shared" si="51"/>
        <v>نوار خاردار</v>
      </c>
      <c r="V91" s="505">
        <v>1</v>
      </c>
      <c r="W91" s="615" t="s">
        <v>35</v>
      </c>
      <c r="X91" s="383" t="str">
        <f t="shared" si="52"/>
        <v>413030202</v>
      </c>
      <c r="Y91" s="384" t="str">
        <f t="shared" si="53"/>
        <v>صفحه زیر نوار خاردار</v>
      </c>
      <c r="Z91" s="505" t="s">
        <v>342</v>
      </c>
      <c r="AA91" s="382">
        <f t="shared" si="54"/>
        <v>4</v>
      </c>
      <c r="AB91" s="656">
        <f t="shared" si="66"/>
        <v>4</v>
      </c>
      <c r="AC91" s="945">
        <f t="shared" si="67"/>
        <v>4</v>
      </c>
      <c r="AE91" s="744" t="str">
        <f t="shared" si="55"/>
        <v>413030202</v>
      </c>
      <c r="AF91" s="745" t="str">
        <f t="shared" si="56"/>
        <v>صفحه زیر نوار خاردار</v>
      </c>
      <c r="AG91" s="382" t="str">
        <f t="shared" si="57"/>
        <v>Plate</v>
      </c>
      <c r="AH91" s="382" t="str">
        <f>F91</f>
        <v>St-12</v>
      </c>
      <c r="AI91" s="505" t="s">
        <v>412</v>
      </c>
      <c r="AJ91" s="1054" t="s">
        <v>463</v>
      </c>
      <c r="AK91" s="889">
        <f>M91/J91</f>
        <v>0.60659090909090907</v>
      </c>
      <c r="AL91" s="382" t="str">
        <f t="shared" si="61"/>
        <v>Kg</v>
      </c>
      <c r="AM91" s="1056">
        <f t="shared" si="37"/>
        <v>2.4263636363636363</v>
      </c>
      <c r="AP91"/>
      <c r="AQ91"/>
      <c r="AR91"/>
      <c r="AS91"/>
      <c r="BD91" s="1120" t="str">
        <f t="shared" si="58"/>
        <v>03</v>
      </c>
      <c r="BE91" s="1121" t="str">
        <f t="shared" si="59"/>
        <v>02</v>
      </c>
      <c r="BF91" s="1121" t="str">
        <f t="shared" si="59"/>
        <v>413030202</v>
      </c>
      <c r="BG91" s="1122" t="str">
        <f t="shared" si="47"/>
        <v>End Drum</v>
      </c>
      <c r="BH91" s="1122">
        <f t="shared" si="47"/>
        <v>1</v>
      </c>
      <c r="BI91" s="1123">
        <f t="shared" si="48"/>
        <v>1</v>
      </c>
    </row>
    <row r="92" spans="1:61" ht="15" x14ac:dyDescent="0.25">
      <c r="A92" s="1171">
        <v>85</v>
      </c>
      <c r="B92" s="151" t="s">
        <v>178</v>
      </c>
      <c r="C92" s="86" t="s">
        <v>126</v>
      </c>
      <c r="D92" s="87" t="s">
        <v>130</v>
      </c>
      <c r="E92" s="87" t="s">
        <v>131</v>
      </c>
      <c r="F92" s="87" t="s">
        <v>132</v>
      </c>
      <c r="G92" s="86">
        <v>5.6</v>
      </c>
      <c r="H92" s="86" t="s">
        <v>10</v>
      </c>
      <c r="I92" s="86" t="s">
        <v>133</v>
      </c>
      <c r="J92" s="86">
        <f>J91*7</f>
        <v>28</v>
      </c>
      <c r="K92" s="86" t="s">
        <v>30</v>
      </c>
      <c r="L92" s="86">
        <f>J92</f>
        <v>28</v>
      </c>
      <c r="M92" s="146">
        <f>J92</f>
        <v>28</v>
      </c>
      <c r="N92" s="89">
        <f t="shared" si="68"/>
        <v>0</v>
      </c>
      <c r="O92" s="641"/>
      <c r="P92" s="379">
        <f t="shared" si="49"/>
        <v>413</v>
      </c>
      <c r="Q92" s="380" t="s">
        <v>36</v>
      </c>
      <c r="R92" s="381" t="str">
        <f t="shared" si="50"/>
        <v>End Drum</v>
      </c>
      <c r="S92" s="381">
        <v>1</v>
      </c>
      <c r="T92" s="615" t="s">
        <v>35</v>
      </c>
      <c r="U92" s="381" t="str">
        <f t="shared" si="51"/>
        <v>نوار خاردار</v>
      </c>
      <c r="V92" s="505">
        <v>1</v>
      </c>
      <c r="W92" s="615" t="s">
        <v>36</v>
      </c>
      <c r="X92" s="383" t="str">
        <f t="shared" si="52"/>
        <v>413030203</v>
      </c>
      <c r="Y92" s="384" t="str">
        <f t="shared" si="53"/>
        <v>پیچ ورشو نوار خاردار</v>
      </c>
      <c r="Z92" s="505" t="s">
        <v>343</v>
      </c>
      <c r="AA92" s="382">
        <f t="shared" si="54"/>
        <v>28</v>
      </c>
      <c r="AB92" s="656">
        <f t="shared" si="66"/>
        <v>28</v>
      </c>
      <c r="AC92" s="945">
        <f t="shared" si="67"/>
        <v>28</v>
      </c>
      <c r="AE92" s="744" t="str">
        <f t="shared" si="55"/>
        <v>413030203</v>
      </c>
      <c r="AF92" s="745" t="str">
        <f t="shared" si="56"/>
        <v>پیچ ورشو نوار خاردار</v>
      </c>
      <c r="AG92" s="382" t="str">
        <f t="shared" si="57"/>
        <v>Self Threaded Bolt</v>
      </c>
      <c r="AH92" s="382" t="str">
        <f t="shared" si="62"/>
        <v>M1/4"x30-5.6-Electroplated-Din 7983</v>
      </c>
      <c r="AI92" s="505" t="s">
        <v>418</v>
      </c>
      <c r="AJ92" s="845" t="s">
        <v>385</v>
      </c>
      <c r="AK92" s="889" t="s">
        <v>484</v>
      </c>
      <c r="AL92" s="382" t="str">
        <f t="shared" si="61"/>
        <v>Pcs</v>
      </c>
      <c r="AM92" s="1056">
        <f t="shared" si="37"/>
        <v>28</v>
      </c>
      <c r="AP92"/>
      <c r="AQ92"/>
      <c r="AR92"/>
      <c r="AS92"/>
      <c r="BD92" s="1120" t="str">
        <f t="shared" si="58"/>
        <v>03</v>
      </c>
      <c r="BE92" s="1121" t="str">
        <f t="shared" si="59"/>
        <v>03</v>
      </c>
      <c r="BF92" s="1121" t="str">
        <f t="shared" si="59"/>
        <v>413030203</v>
      </c>
      <c r="BG92" s="1122" t="str">
        <f t="shared" si="47"/>
        <v>End Drum</v>
      </c>
      <c r="BH92" s="1122">
        <f t="shared" si="47"/>
        <v>1</v>
      </c>
      <c r="BI92" s="1123">
        <f t="shared" si="48"/>
        <v>1</v>
      </c>
    </row>
    <row r="93" spans="1:61" ht="15.75" thickBot="1" x14ac:dyDescent="0.3">
      <c r="A93" s="1174">
        <v>86</v>
      </c>
      <c r="B93" s="152" t="s">
        <v>178</v>
      </c>
      <c r="C93" s="153" t="s">
        <v>126</v>
      </c>
      <c r="D93" s="154" t="s">
        <v>134</v>
      </c>
      <c r="E93" s="154" t="s">
        <v>3</v>
      </c>
      <c r="F93" s="154" t="s">
        <v>4</v>
      </c>
      <c r="G93" s="153">
        <v>1.5</v>
      </c>
      <c r="H93" s="153">
        <v>100</v>
      </c>
      <c r="I93" s="153">
        <v>1700</v>
      </c>
      <c r="J93" s="153">
        <f>J90</f>
        <v>4</v>
      </c>
      <c r="K93" s="153" t="s">
        <v>29</v>
      </c>
      <c r="L93" s="155">
        <f>G93*H93*I93*J93*7.85/1000000</f>
        <v>8.0069999999999997</v>
      </c>
      <c r="M93" s="155">
        <f>((((1000-(INT(1000/H93)*H93))/(INT(1000/H93)))+H93)*G93*I93*J93*7.85)/1000000</f>
        <v>8.0069999999999997</v>
      </c>
      <c r="N93" s="156">
        <f t="shared" si="68"/>
        <v>0</v>
      </c>
      <c r="O93" s="641"/>
      <c r="P93" s="385">
        <f t="shared" si="49"/>
        <v>413</v>
      </c>
      <c r="Q93" s="386" t="s">
        <v>36</v>
      </c>
      <c r="R93" s="387" t="str">
        <f t="shared" si="50"/>
        <v>End Drum</v>
      </c>
      <c r="S93" s="387">
        <v>1</v>
      </c>
      <c r="T93" s="942" t="s">
        <v>35</v>
      </c>
      <c r="U93" s="387" t="str">
        <f t="shared" si="51"/>
        <v>نوار خاردار</v>
      </c>
      <c r="V93" s="943">
        <v>1</v>
      </c>
      <c r="W93" s="942" t="s">
        <v>37</v>
      </c>
      <c r="X93" s="389" t="str">
        <f t="shared" si="52"/>
        <v>413030204</v>
      </c>
      <c r="Y93" s="390" t="str">
        <f t="shared" si="53"/>
        <v>تسمه کلیدی</v>
      </c>
      <c r="Z93" s="943" t="s">
        <v>344</v>
      </c>
      <c r="AA93" s="388">
        <f t="shared" si="54"/>
        <v>4</v>
      </c>
      <c r="AB93" s="946">
        <f t="shared" si="66"/>
        <v>4</v>
      </c>
      <c r="AC93" s="947">
        <f t="shared" si="67"/>
        <v>4</v>
      </c>
      <c r="AE93" s="775" t="str">
        <f t="shared" si="55"/>
        <v>413030204</v>
      </c>
      <c r="AF93" s="776" t="str">
        <f t="shared" si="56"/>
        <v>تسمه کلیدی</v>
      </c>
      <c r="AG93" s="506" t="str">
        <f t="shared" si="57"/>
        <v>Plate</v>
      </c>
      <c r="AH93" s="506" t="str">
        <f>F93</f>
        <v>H.D.G</v>
      </c>
      <c r="AI93" s="689" t="s">
        <v>419</v>
      </c>
      <c r="AJ93" s="846" t="s">
        <v>467</v>
      </c>
      <c r="AK93" s="890" t="s">
        <v>484</v>
      </c>
      <c r="AL93" s="506" t="str">
        <f t="shared" si="61"/>
        <v>Kg</v>
      </c>
      <c r="AM93" s="1057">
        <f t="shared" si="37"/>
        <v>4</v>
      </c>
      <c r="AP93"/>
      <c r="AQ93"/>
      <c r="AR93"/>
      <c r="AS93"/>
      <c r="BD93" s="1120" t="str">
        <f t="shared" si="58"/>
        <v>03</v>
      </c>
      <c r="BE93" s="1121" t="str">
        <f t="shared" si="59"/>
        <v>04</v>
      </c>
      <c r="BF93" s="1121" t="str">
        <f t="shared" si="59"/>
        <v>413030204</v>
      </c>
      <c r="BG93" s="1122" t="str">
        <f t="shared" si="47"/>
        <v>End Drum</v>
      </c>
      <c r="BH93" s="1122">
        <f t="shared" si="47"/>
        <v>1</v>
      </c>
      <c r="BI93" s="1123">
        <f t="shared" si="48"/>
        <v>1</v>
      </c>
    </row>
    <row r="94" spans="1:61" ht="15" x14ac:dyDescent="0.25">
      <c r="A94" s="1170">
        <v>87</v>
      </c>
      <c r="B94" s="144" t="s">
        <v>178</v>
      </c>
      <c r="C94" s="91" t="s">
        <v>135</v>
      </c>
      <c r="D94" s="92" t="s">
        <v>135</v>
      </c>
      <c r="E94" s="92" t="s">
        <v>128</v>
      </c>
      <c r="F94" s="92" t="s">
        <v>4</v>
      </c>
      <c r="G94" s="91">
        <v>1</v>
      </c>
      <c r="H94" s="91">
        <v>32</v>
      </c>
      <c r="I94" s="91">
        <f>IF($E$1=1500,5000,IF($E$1=2000,6500,IF($E$1=2500,8000,9600)))</f>
        <v>6500</v>
      </c>
      <c r="J94" s="91">
        <v>2</v>
      </c>
      <c r="K94" s="91" t="s">
        <v>29</v>
      </c>
      <c r="L94" s="141">
        <f>J94*G94*H94*I94*7.85/1000000</f>
        <v>3.2656000000000001</v>
      </c>
      <c r="M94" s="141">
        <f>((((1250-(INT(1250/H94)*H94))/(INT(1250/H94)))+H94)*G94*I94*J94*7.85)/1000000</f>
        <v>3.2708333333333335</v>
      </c>
      <c r="N94" s="93">
        <f t="shared" si="68"/>
        <v>1.60256410256413E-3</v>
      </c>
      <c r="O94" s="641"/>
      <c r="P94" s="402">
        <f t="shared" si="49"/>
        <v>413</v>
      </c>
      <c r="Q94" s="403" t="s">
        <v>36</v>
      </c>
      <c r="R94" s="404" t="str">
        <f t="shared" si="50"/>
        <v>End Drum</v>
      </c>
      <c r="S94" s="404">
        <v>1</v>
      </c>
      <c r="T94" s="612" t="s">
        <v>36</v>
      </c>
      <c r="U94" s="404" t="str">
        <f t="shared" si="51"/>
        <v>تسمه نوار عرضی</v>
      </c>
      <c r="V94" s="685">
        <v>1</v>
      </c>
      <c r="W94" s="612" t="s">
        <v>34</v>
      </c>
      <c r="X94" s="406" t="str">
        <f t="shared" si="52"/>
        <v>413030301</v>
      </c>
      <c r="Y94" s="407" t="str">
        <f t="shared" si="53"/>
        <v>تسمه نوار عرضی</v>
      </c>
      <c r="Z94" s="685" t="str">
        <f>"1"&amp;"x"&amp;"32"&amp;"x"&amp;I94</f>
        <v>1x32x6500</v>
      </c>
      <c r="AA94" s="405">
        <f t="shared" si="54"/>
        <v>2</v>
      </c>
      <c r="AB94" s="653">
        <f t="shared" si="66"/>
        <v>2</v>
      </c>
      <c r="AC94" s="928">
        <f t="shared" si="67"/>
        <v>2</v>
      </c>
      <c r="AE94" s="698" t="str">
        <f t="shared" si="55"/>
        <v>413030301</v>
      </c>
      <c r="AF94" s="699" t="str">
        <f t="shared" si="56"/>
        <v>تسمه نوار عرضی</v>
      </c>
      <c r="AG94" s="405" t="str">
        <f t="shared" si="57"/>
        <v>Flat Bar</v>
      </c>
      <c r="AH94" s="405" t="str">
        <f>F94</f>
        <v>H.D.G</v>
      </c>
      <c r="AI94" s="685" t="s">
        <v>420</v>
      </c>
      <c r="AJ94" s="849" t="s">
        <v>468</v>
      </c>
      <c r="AK94" s="885">
        <f>M94/J94</f>
        <v>1.6354166666666667</v>
      </c>
      <c r="AL94" s="405" t="str">
        <f t="shared" si="61"/>
        <v>Kg</v>
      </c>
      <c r="AM94" s="1051">
        <f t="shared" si="37"/>
        <v>3.2708333333333335</v>
      </c>
      <c r="AP94"/>
      <c r="AQ94"/>
      <c r="AR94"/>
      <c r="AS94"/>
      <c r="BD94" s="1120" t="str">
        <f t="shared" si="58"/>
        <v>03</v>
      </c>
      <c r="BE94" s="1121" t="str">
        <f t="shared" si="59"/>
        <v>01</v>
      </c>
      <c r="BF94" s="1121" t="str">
        <f t="shared" si="59"/>
        <v>413030301</v>
      </c>
      <c r="BG94" s="1122" t="str">
        <f t="shared" si="47"/>
        <v>End Drum</v>
      </c>
      <c r="BH94" s="1122">
        <f t="shared" si="47"/>
        <v>1</v>
      </c>
      <c r="BI94" s="1123">
        <f t="shared" si="48"/>
        <v>1</v>
      </c>
    </row>
    <row r="95" spans="1:61" ht="15" x14ac:dyDescent="0.25">
      <c r="A95" s="1171">
        <v>88</v>
      </c>
      <c r="B95" s="143" t="s">
        <v>178</v>
      </c>
      <c r="C95" s="94" t="s">
        <v>135</v>
      </c>
      <c r="D95" s="95" t="s">
        <v>136</v>
      </c>
      <c r="E95" s="95" t="s">
        <v>137</v>
      </c>
      <c r="F95" s="95" t="s">
        <v>232</v>
      </c>
      <c r="G95" s="94">
        <v>3</v>
      </c>
      <c r="H95" s="94">
        <v>30</v>
      </c>
      <c r="I95" s="94">
        <v>30</v>
      </c>
      <c r="J95" s="94">
        <v>8</v>
      </c>
      <c r="K95" s="265" t="s">
        <v>29</v>
      </c>
      <c r="L95" s="96">
        <f>G95*55*I95*7.85*J95/1000000</f>
        <v>0.31086000000000003</v>
      </c>
      <c r="M95" s="96">
        <f>(((6000-(INT(6000/I95)*I95))/(INT(6000/I95)))+I95)*55*G95*J95*7.85/1000000</f>
        <v>0.31086000000000003</v>
      </c>
      <c r="N95" s="97">
        <f t="shared" si="68"/>
        <v>0</v>
      </c>
      <c r="O95" s="641"/>
      <c r="P95" s="408">
        <f t="shared" si="49"/>
        <v>413</v>
      </c>
      <c r="Q95" s="409" t="s">
        <v>36</v>
      </c>
      <c r="R95" s="410" t="str">
        <f t="shared" si="50"/>
        <v>End Drum</v>
      </c>
      <c r="S95" s="410">
        <v>1</v>
      </c>
      <c r="T95" s="613" t="s">
        <v>36</v>
      </c>
      <c r="U95" s="410" t="str">
        <f t="shared" si="51"/>
        <v>تسمه نوار عرضی</v>
      </c>
      <c r="V95" s="686">
        <v>1</v>
      </c>
      <c r="W95" s="613" t="s">
        <v>35</v>
      </c>
      <c r="X95" s="412" t="str">
        <f t="shared" si="52"/>
        <v>413030302</v>
      </c>
      <c r="Y95" s="413" t="str">
        <f t="shared" si="53"/>
        <v>بست تسمه نوار عرضی</v>
      </c>
      <c r="Z95" s="686" t="s">
        <v>345</v>
      </c>
      <c r="AA95" s="411">
        <f t="shared" si="54"/>
        <v>8</v>
      </c>
      <c r="AB95" s="654">
        <f t="shared" si="66"/>
        <v>8</v>
      </c>
      <c r="AC95" s="929">
        <f t="shared" si="67"/>
        <v>8</v>
      </c>
      <c r="AE95" s="700" t="str">
        <f t="shared" si="55"/>
        <v>413030302</v>
      </c>
      <c r="AF95" s="701" t="str">
        <f t="shared" si="56"/>
        <v>بست تسمه نوار عرضی</v>
      </c>
      <c r="AG95" s="411" t="str">
        <f t="shared" si="57"/>
        <v>Angle 30x30</v>
      </c>
      <c r="AH95" s="411" t="str">
        <f>F95</f>
        <v>A-36</v>
      </c>
      <c r="AI95" s="686" t="s">
        <v>421</v>
      </c>
      <c r="AJ95" s="842" t="s">
        <v>469</v>
      </c>
      <c r="AK95" s="886">
        <f>M95/J95</f>
        <v>3.8857500000000003E-2</v>
      </c>
      <c r="AL95" s="411" t="str">
        <f t="shared" si="61"/>
        <v>Kg</v>
      </c>
      <c r="AM95" s="1052">
        <f t="shared" si="37"/>
        <v>0.31086000000000003</v>
      </c>
      <c r="AP95"/>
      <c r="AQ95"/>
      <c r="AR95"/>
      <c r="AS95"/>
      <c r="BD95" s="1120" t="str">
        <f t="shared" si="58"/>
        <v>03</v>
      </c>
      <c r="BE95" s="1121" t="str">
        <f t="shared" si="59"/>
        <v>02</v>
      </c>
      <c r="BF95" s="1121" t="str">
        <f t="shared" si="59"/>
        <v>413030302</v>
      </c>
      <c r="BG95" s="1122" t="str">
        <f t="shared" si="47"/>
        <v>End Drum</v>
      </c>
      <c r="BH95" s="1122">
        <f t="shared" si="47"/>
        <v>1</v>
      </c>
      <c r="BI95" s="1123">
        <f t="shared" si="48"/>
        <v>1</v>
      </c>
    </row>
    <row r="96" spans="1:61" ht="15" x14ac:dyDescent="0.25">
      <c r="A96" s="1190">
        <v>89</v>
      </c>
      <c r="B96" s="143" t="s">
        <v>178</v>
      </c>
      <c r="C96" s="94" t="s">
        <v>135</v>
      </c>
      <c r="D96" s="95" t="s">
        <v>138</v>
      </c>
      <c r="E96" s="95" t="s">
        <v>131</v>
      </c>
      <c r="F96" s="95" t="s">
        <v>139</v>
      </c>
      <c r="G96" s="94">
        <v>5.6</v>
      </c>
      <c r="H96" s="94" t="s">
        <v>10</v>
      </c>
      <c r="I96" s="94" t="s">
        <v>133</v>
      </c>
      <c r="J96" s="94">
        <v>4</v>
      </c>
      <c r="K96" s="94" t="s">
        <v>30</v>
      </c>
      <c r="L96" s="98">
        <f>J96</f>
        <v>4</v>
      </c>
      <c r="M96" s="98">
        <f>J96</f>
        <v>4</v>
      </c>
      <c r="N96" s="97">
        <f t="shared" si="68"/>
        <v>0</v>
      </c>
      <c r="O96" s="641"/>
      <c r="P96" s="408">
        <f t="shared" si="49"/>
        <v>413</v>
      </c>
      <c r="Q96" s="409" t="s">
        <v>36</v>
      </c>
      <c r="R96" s="410" t="str">
        <f t="shared" si="50"/>
        <v>End Drum</v>
      </c>
      <c r="S96" s="410">
        <v>1</v>
      </c>
      <c r="T96" s="613" t="s">
        <v>36</v>
      </c>
      <c r="U96" s="410" t="str">
        <f t="shared" si="51"/>
        <v>تسمه نوار عرضی</v>
      </c>
      <c r="V96" s="686">
        <v>1</v>
      </c>
      <c r="W96" s="613" t="s">
        <v>36</v>
      </c>
      <c r="X96" s="412" t="str">
        <f t="shared" si="52"/>
        <v>413030303</v>
      </c>
      <c r="Y96" s="413" t="str">
        <f t="shared" si="53"/>
        <v>پیچ بست تسمه نوار عرضی</v>
      </c>
      <c r="Z96" s="686" t="s">
        <v>346</v>
      </c>
      <c r="AA96" s="411">
        <f t="shared" si="54"/>
        <v>4</v>
      </c>
      <c r="AB96" s="654">
        <f t="shared" si="66"/>
        <v>4</v>
      </c>
      <c r="AC96" s="929">
        <f t="shared" si="67"/>
        <v>4</v>
      </c>
      <c r="AE96" s="700" t="str">
        <f t="shared" si="55"/>
        <v>413030303</v>
      </c>
      <c r="AF96" s="701" t="str">
        <f t="shared" si="56"/>
        <v>پیچ بست تسمه نوار عرضی</v>
      </c>
      <c r="AG96" s="411" t="str">
        <f t="shared" si="57"/>
        <v>Self Threaded Bolt</v>
      </c>
      <c r="AH96" s="411" t="str">
        <f t="shared" si="62"/>
        <v>M1/4"x10-5.6-Electroplated-Din 7983</v>
      </c>
      <c r="AI96" s="686" t="s">
        <v>422</v>
      </c>
      <c r="AJ96" s="841" t="s">
        <v>386</v>
      </c>
      <c r="AK96" s="886" t="s">
        <v>484</v>
      </c>
      <c r="AL96" s="411" t="str">
        <f t="shared" si="61"/>
        <v>Pcs</v>
      </c>
      <c r="AM96" s="1052">
        <f t="shared" si="37"/>
        <v>4</v>
      </c>
      <c r="AP96"/>
      <c r="AQ96"/>
      <c r="AR96"/>
      <c r="AS96"/>
      <c r="BD96" s="1120" t="str">
        <f t="shared" si="58"/>
        <v>03</v>
      </c>
      <c r="BE96" s="1121" t="str">
        <f t="shared" si="59"/>
        <v>03</v>
      </c>
      <c r="BF96" s="1121" t="str">
        <f t="shared" si="59"/>
        <v>413030303</v>
      </c>
      <c r="BG96" s="1122" t="str">
        <f t="shared" si="47"/>
        <v>End Drum</v>
      </c>
      <c r="BH96" s="1122">
        <f t="shared" si="47"/>
        <v>1</v>
      </c>
      <c r="BI96" s="1123">
        <f t="shared" si="48"/>
        <v>1</v>
      </c>
    </row>
    <row r="97" spans="1:61" ht="15" x14ac:dyDescent="0.25">
      <c r="A97" s="1171">
        <v>90</v>
      </c>
      <c r="B97" s="143" t="s">
        <v>178</v>
      </c>
      <c r="C97" s="94" t="s">
        <v>135</v>
      </c>
      <c r="D97" s="95" t="s">
        <v>140</v>
      </c>
      <c r="E97" s="95" t="s">
        <v>8</v>
      </c>
      <c r="F97" s="95" t="s">
        <v>141</v>
      </c>
      <c r="G97" s="94">
        <v>5.6</v>
      </c>
      <c r="H97" s="94" t="s">
        <v>10</v>
      </c>
      <c r="I97" s="94" t="s">
        <v>20</v>
      </c>
      <c r="J97" s="94">
        <v>2</v>
      </c>
      <c r="K97" s="94" t="s">
        <v>30</v>
      </c>
      <c r="L97" s="98">
        <f>J97</f>
        <v>2</v>
      </c>
      <c r="M97" s="98">
        <f>J97</f>
        <v>2</v>
      </c>
      <c r="N97" s="97">
        <f t="shared" si="68"/>
        <v>0</v>
      </c>
      <c r="O97" s="641"/>
      <c r="P97" s="408">
        <f t="shared" si="49"/>
        <v>413</v>
      </c>
      <c r="Q97" s="409" t="s">
        <v>36</v>
      </c>
      <c r="R97" s="410" t="str">
        <f t="shared" si="50"/>
        <v>End Drum</v>
      </c>
      <c r="S97" s="410">
        <v>1</v>
      </c>
      <c r="T97" s="613" t="s">
        <v>36</v>
      </c>
      <c r="U97" s="410" t="str">
        <f t="shared" si="51"/>
        <v>تسمه نوار عرضی</v>
      </c>
      <c r="V97" s="686">
        <v>1</v>
      </c>
      <c r="W97" s="613" t="s">
        <v>37</v>
      </c>
      <c r="X97" s="412" t="str">
        <f t="shared" si="52"/>
        <v>413030304</v>
      </c>
      <c r="Y97" s="413" t="str">
        <f t="shared" si="53"/>
        <v>پیچ تسمه نوار عرضی</v>
      </c>
      <c r="Z97" s="686" t="s">
        <v>141</v>
      </c>
      <c r="AA97" s="411">
        <f t="shared" si="54"/>
        <v>2</v>
      </c>
      <c r="AB97" s="654">
        <f t="shared" si="66"/>
        <v>2</v>
      </c>
      <c r="AC97" s="929">
        <f t="shared" si="67"/>
        <v>2</v>
      </c>
      <c r="AE97" s="700" t="str">
        <f t="shared" si="55"/>
        <v>413030304</v>
      </c>
      <c r="AF97" s="701" t="str">
        <f t="shared" si="56"/>
        <v>پیچ تسمه نوار عرضی</v>
      </c>
      <c r="AG97" s="411" t="str">
        <f t="shared" si="57"/>
        <v>Hex Bolt</v>
      </c>
      <c r="AH97" s="411" t="str">
        <f t="shared" si="62"/>
        <v>M6x100-5.6-Electroplated-Din 933</v>
      </c>
      <c r="AI97" s="686" t="s">
        <v>423</v>
      </c>
      <c r="AJ97" s="841" t="s">
        <v>387</v>
      </c>
      <c r="AK97" s="886" t="s">
        <v>484</v>
      </c>
      <c r="AL97" s="411" t="str">
        <f t="shared" si="61"/>
        <v>Pcs</v>
      </c>
      <c r="AM97" s="1052">
        <f t="shared" si="37"/>
        <v>2</v>
      </c>
      <c r="AP97"/>
      <c r="AQ97"/>
      <c r="AR97"/>
      <c r="AS97"/>
      <c r="BD97" s="1120" t="str">
        <f t="shared" si="58"/>
        <v>03</v>
      </c>
      <c r="BE97" s="1121" t="str">
        <f t="shared" si="59"/>
        <v>04</v>
      </c>
      <c r="BF97" s="1121" t="str">
        <f t="shared" si="59"/>
        <v>413030304</v>
      </c>
      <c r="BG97" s="1122" t="str">
        <f t="shared" si="47"/>
        <v>End Drum</v>
      </c>
      <c r="BH97" s="1122">
        <f t="shared" si="47"/>
        <v>1</v>
      </c>
      <c r="BI97" s="1123">
        <f t="shared" si="48"/>
        <v>1</v>
      </c>
    </row>
    <row r="98" spans="1:61" ht="15.75" thickBot="1" x14ac:dyDescent="0.3">
      <c r="A98" s="1172">
        <v>91</v>
      </c>
      <c r="B98" s="145" t="s">
        <v>178</v>
      </c>
      <c r="C98" s="99" t="s">
        <v>135</v>
      </c>
      <c r="D98" s="100" t="s">
        <v>142</v>
      </c>
      <c r="E98" s="100" t="s">
        <v>9</v>
      </c>
      <c r="F98" s="100" t="s">
        <v>5</v>
      </c>
      <c r="G98" s="99">
        <v>5</v>
      </c>
      <c r="H98" s="99" t="s">
        <v>10</v>
      </c>
      <c r="I98" s="99" t="s">
        <v>21</v>
      </c>
      <c r="J98" s="99">
        <f>J97</f>
        <v>2</v>
      </c>
      <c r="K98" s="99" t="s">
        <v>30</v>
      </c>
      <c r="L98" s="99">
        <f>J98</f>
        <v>2</v>
      </c>
      <c r="M98" s="99">
        <f>J98</f>
        <v>2</v>
      </c>
      <c r="N98" s="101">
        <f t="shared" si="68"/>
        <v>0</v>
      </c>
      <c r="O98" s="641"/>
      <c r="P98" s="414">
        <f t="shared" si="49"/>
        <v>413</v>
      </c>
      <c r="Q98" s="415" t="s">
        <v>36</v>
      </c>
      <c r="R98" s="416" t="str">
        <f t="shared" si="50"/>
        <v>End Drum</v>
      </c>
      <c r="S98" s="416">
        <v>1</v>
      </c>
      <c r="T98" s="938" t="s">
        <v>36</v>
      </c>
      <c r="U98" s="416" t="str">
        <f t="shared" si="51"/>
        <v>تسمه نوار عرضی</v>
      </c>
      <c r="V98" s="939">
        <v>1</v>
      </c>
      <c r="W98" s="938" t="s">
        <v>38</v>
      </c>
      <c r="X98" s="418" t="str">
        <f t="shared" si="52"/>
        <v>413030305</v>
      </c>
      <c r="Y98" s="419" t="str">
        <f t="shared" si="53"/>
        <v>مهره تسمه نوار عرضی</v>
      </c>
      <c r="Z98" s="939" t="s">
        <v>5</v>
      </c>
      <c r="AA98" s="417">
        <f t="shared" si="54"/>
        <v>2</v>
      </c>
      <c r="AB98" s="940">
        <f t="shared" si="66"/>
        <v>2</v>
      </c>
      <c r="AC98" s="941">
        <f t="shared" si="67"/>
        <v>2</v>
      </c>
      <c r="AE98" s="769" t="str">
        <f t="shared" si="55"/>
        <v>413030305</v>
      </c>
      <c r="AF98" s="770" t="str">
        <f t="shared" si="56"/>
        <v>مهره تسمه نوار عرضی</v>
      </c>
      <c r="AG98" s="504" t="str">
        <f t="shared" si="57"/>
        <v>Hex Nut</v>
      </c>
      <c r="AH98" s="504" t="str">
        <f t="shared" si="62"/>
        <v>M6-5-Electroplated-Din 934</v>
      </c>
      <c r="AI98" s="687" t="s">
        <v>424</v>
      </c>
      <c r="AJ98" s="843" t="s">
        <v>104</v>
      </c>
      <c r="AK98" s="887" t="s">
        <v>484</v>
      </c>
      <c r="AL98" s="504" t="str">
        <f t="shared" si="61"/>
        <v>Pcs</v>
      </c>
      <c r="AM98" s="1053">
        <f t="shared" si="37"/>
        <v>2</v>
      </c>
      <c r="AP98"/>
      <c r="AQ98"/>
      <c r="AR98"/>
      <c r="AS98"/>
      <c r="BD98" s="1120" t="str">
        <f t="shared" si="58"/>
        <v>03</v>
      </c>
      <c r="BE98" s="1121" t="str">
        <f t="shared" si="59"/>
        <v>05</v>
      </c>
      <c r="BF98" s="1121" t="str">
        <f t="shared" si="59"/>
        <v>413030305</v>
      </c>
      <c r="BG98" s="1122" t="str">
        <f t="shared" si="47"/>
        <v>End Drum</v>
      </c>
      <c r="BH98" s="1122">
        <f t="shared" si="47"/>
        <v>1</v>
      </c>
      <c r="BI98" s="1123">
        <f t="shared" si="48"/>
        <v>1</v>
      </c>
    </row>
    <row r="99" spans="1:61" ht="15.75" thickBot="1" x14ac:dyDescent="0.3">
      <c r="A99" s="1177">
        <v>92</v>
      </c>
      <c r="B99" s="256" t="s">
        <v>178</v>
      </c>
      <c r="C99" s="257" t="s">
        <v>154</v>
      </c>
      <c r="D99" s="258" t="s">
        <v>154</v>
      </c>
      <c r="E99" s="258" t="s">
        <v>176</v>
      </c>
      <c r="F99" s="258" t="s">
        <v>177</v>
      </c>
      <c r="G99" s="257" t="s">
        <v>2</v>
      </c>
      <c r="H99" s="257" t="s">
        <v>2</v>
      </c>
      <c r="I99" s="257" t="s">
        <v>2</v>
      </c>
      <c r="J99" s="257">
        <f>J82/2</f>
        <v>4</v>
      </c>
      <c r="K99" s="257" t="s">
        <v>30</v>
      </c>
      <c r="L99" s="257">
        <f>J99</f>
        <v>4</v>
      </c>
      <c r="M99" s="257">
        <f>J99</f>
        <v>4</v>
      </c>
      <c r="N99" s="259">
        <f t="shared" si="68"/>
        <v>0</v>
      </c>
      <c r="O99" s="641"/>
      <c r="P99" s="507">
        <f t="shared" si="49"/>
        <v>413</v>
      </c>
      <c r="Q99" s="508" t="s">
        <v>36</v>
      </c>
      <c r="R99" s="509" t="str">
        <f t="shared" si="50"/>
        <v>End Drum</v>
      </c>
      <c r="S99" s="509">
        <v>1</v>
      </c>
      <c r="T99" s="954" t="s">
        <v>37</v>
      </c>
      <c r="U99" s="509" t="str">
        <f t="shared" si="51"/>
        <v>فیلتر</v>
      </c>
      <c r="V99" s="955">
        <v>1</v>
      </c>
      <c r="W99" s="954" t="s">
        <v>34</v>
      </c>
      <c r="X99" s="510" t="str">
        <f t="shared" si="52"/>
        <v>413030401</v>
      </c>
      <c r="Y99" s="511" t="str">
        <f t="shared" si="53"/>
        <v>فیلتر</v>
      </c>
      <c r="Z99" s="955" t="s">
        <v>177</v>
      </c>
      <c r="AA99" s="512">
        <f t="shared" si="54"/>
        <v>4</v>
      </c>
      <c r="AB99" s="956">
        <f t="shared" si="66"/>
        <v>4</v>
      </c>
      <c r="AC99" s="957">
        <f t="shared" si="67"/>
        <v>4</v>
      </c>
      <c r="AE99" s="777" t="str">
        <f t="shared" si="55"/>
        <v>413030401</v>
      </c>
      <c r="AF99" s="778" t="str">
        <f t="shared" si="56"/>
        <v>فیلتر</v>
      </c>
      <c r="AG99" s="513" t="str">
        <f t="shared" si="57"/>
        <v>فیلتر اسفنجی</v>
      </c>
      <c r="AH99" s="513" t="str">
        <f>F99</f>
        <v>PPI 45</v>
      </c>
      <c r="AI99" s="690" t="s">
        <v>425</v>
      </c>
      <c r="AJ99" s="847" t="s">
        <v>388</v>
      </c>
      <c r="AK99" s="891" t="s">
        <v>484</v>
      </c>
      <c r="AL99" s="513" t="str">
        <f t="shared" si="61"/>
        <v>Pcs</v>
      </c>
      <c r="AM99" s="1058">
        <f t="shared" si="37"/>
        <v>4</v>
      </c>
      <c r="AP99"/>
      <c r="AQ99"/>
      <c r="AR99"/>
      <c r="AS99"/>
      <c r="BD99" s="1120" t="str">
        <f t="shared" si="58"/>
        <v>03</v>
      </c>
      <c r="BE99" s="1121" t="str">
        <f t="shared" si="59"/>
        <v>01</v>
      </c>
      <c r="BF99" s="1121" t="str">
        <f t="shared" si="59"/>
        <v>413030401</v>
      </c>
      <c r="BG99" s="1122" t="str">
        <f t="shared" si="47"/>
        <v>End Drum</v>
      </c>
      <c r="BH99" s="1122">
        <f t="shared" si="47"/>
        <v>1</v>
      </c>
      <c r="BI99" s="1123">
        <f t="shared" si="48"/>
        <v>1</v>
      </c>
    </row>
    <row r="100" spans="1:61" ht="15" x14ac:dyDescent="0.25">
      <c r="A100" s="1191">
        <v>93</v>
      </c>
      <c r="B100" s="144" t="s">
        <v>178</v>
      </c>
      <c r="C100" s="91" t="s">
        <v>143</v>
      </c>
      <c r="D100" s="92" t="s">
        <v>307</v>
      </c>
      <c r="E100" s="92" t="s">
        <v>145</v>
      </c>
      <c r="F100" s="92" t="s">
        <v>232</v>
      </c>
      <c r="G100" s="91" t="s">
        <v>2</v>
      </c>
      <c r="H100" s="91">
        <v>65</v>
      </c>
      <c r="I100" s="91">
        <v>260</v>
      </c>
      <c r="J100" s="91">
        <v>1</v>
      </c>
      <c r="K100" s="91" t="s">
        <v>29</v>
      </c>
      <c r="L100" s="141">
        <f>J100*I100*7.85*(H100/2)*(H100/2)/1000000</f>
        <v>2.1558062499999999</v>
      </c>
      <c r="M100" s="141">
        <f>(((6000-(INT(6000/I100)*I100))/(INT(6000/I100)))+I100)*J100*7.85*(H100/2)*(H100/2)/1000000</f>
        <v>2.1630163043478263</v>
      </c>
      <c r="N100" s="93">
        <f t="shared" si="68"/>
        <v>3.3444816053513158E-3</v>
      </c>
      <c r="O100" s="641"/>
      <c r="P100" s="402">
        <f t="shared" si="49"/>
        <v>413</v>
      </c>
      <c r="Q100" s="403" t="s">
        <v>36</v>
      </c>
      <c r="R100" s="404" t="str">
        <f t="shared" si="50"/>
        <v>End Drum</v>
      </c>
      <c r="S100" s="404">
        <v>1</v>
      </c>
      <c r="T100" s="612" t="s">
        <v>38</v>
      </c>
      <c r="U100" s="404" t="str">
        <f t="shared" si="51"/>
        <v>صفحه و شفت</v>
      </c>
      <c r="V100" s="685">
        <v>1</v>
      </c>
      <c r="W100" s="612" t="s">
        <v>34</v>
      </c>
      <c r="X100" s="406" t="str">
        <f t="shared" si="52"/>
        <v>413030501</v>
      </c>
      <c r="Y100" s="407" t="str">
        <f t="shared" si="53"/>
        <v xml:space="preserve"> شفت سمت ثابت</v>
      </c>
      <c r="Z100" s="685" t="s">
        <v>357</v>
      </c>
      <c r="AA100" s="405">
        <f t="shared" si="54"/>
        <v>1</v>
      </c>
      <c r="AB100" s="653">
        <f t="shared" si="66"/>
        <v>1</v>
      </c>
      <c r="AC100" s="928">
        <f t="shared" si="67"/>
        <v>1</v>
      </c>
      <c r="AE100" s="698" t="str">
        <f t="shared" si="55"/>
        <v>413030501</v>
      </c>
      <c r="AF100" s="699" t="str">
        <f t="shared" si="56"/>
        <v xml:space="preserve"> شفت سمت ثابت</v>
      </c>
      <c r="AG100" s="405" t="str">
        <f t="shared" si="57"/>
        <v>Round Bar</v>
      </c>
      <c r="AH100" s="405" t="str">
        <f>F100</f>
        <v>A-36</v>
      </c>
      <c r="AI100" s="685" t="s">
        <v>426</v>
      </c>
      <c r="AJ100" s="840" t="s">
        <v>470</v>
      </c>
      <c r="AK100" s="885">
        <f>M100/J100</f>
        <v>2.1630163043478263</v>
      </c>
      <c r="AL100" s="405" t="str">
        <f t="shared" si="61"/>
        <v>Kg</v>
      </c>
      <c r="AM100" s="1051">
        <f t="shared" si="37"/>
        <v>2.1630163043478263</v>
      </c>
      <c r="AP100"/>
      <c r="AQ100"/>
      <c r="AR100"/>
      <c r="AS100"/>
      <c r="BD100" s="1120" t="str">
        <f t="shared" si="58"/>
        <v>03</v>
      </c>
      <c r="BE100" s="1121" t="str">
        <f t="shared" si="59"/>
        <v>01</v>
      </c>
      <c r="BF100" s="1121" t="str">
        <f t="shared" si="59"/>
        <v>413030501</v>
      </c>
      <c r="BG100" s="1122" t="str">
        <f t="shared" si="47"/>
        <v>End Drum</v>
      </c>
      <c r="BH100" s="1122">
        <f t="shared" si="47"/>
        <v>1</v>
      </c>
      <c r="BI100" s="1123">
        <f t="shared" si="48"/>
        <v>1</v>
      </c>
    </row>
    <row r="101" spans="1:61" ht="15" x14ac:dyDescent="0.25">
      <c r="A101" s="1190">
        <v>94</v>
      </c>
      <c r="B101" s="143" t="s">
        <v>178</v>
      </c>
      <c r="C101" s="94" t="s">
        <v>143</v>
      </c>
      <c r="D101" s="95" t="s">
        <v>146</v>
      </c>
      <c r="E101" s="95" t="s">
        <v>3</v>
      </c>
      <c r="F101" s="95" t="s">
        <v>80</v>
      </c>
      <c r="G101" s="94">
        <v>10</v>
      </c>
      <c r="H101" s="94">
        <v>350</v>
      </c>
      <c r="I101" s="94">
        <v>350</v>
      </c>
      <c r="J101" s="1193">
        <v>1</v>
      </c>
      <c r="K101" s="94" t="s">
        <v>29</v>
      </c>
      <c r="L101" s="1192">
        <f>G101*H101*I101*J101*7.85/1000000</f>
        <v>9.6162500000000009</v>
      </c>
      <c r="M101" s="1193">
        <f>((((1500-(INT(1500/H101)*H101))/(INT(1500/H101)))+H101)*G101*I101*J101*7.85)/1000000</f>
        <v>10.303125</v>
      </c>
      <c r="N101" s="97">
        <f t="shared" si="68"/>
        <v>7.14285714285713E-2</v>
      </c>
      <c r="O101" s="641"/>
      <c r="P101" s="408">
        <f t="shared" si="49"/>
        <v>413</v>
      </c>
      <c r="Q101" s="409" t="s">
        <v>36</v>
      </c>
      <c r="R101" s="410" t="str">
        <f t="shared" si="50"/>
        <v>End Drum</v>
      </c>
      <c r="S101" s="410">
        <v>1</v>
      </c>
      <c r="T101" s="613" t="s">
        <v>38</v>
      </c>
      <c r="U101" s="410" t="str">
        <f t="shared" si="51"/>
        <v>صفحه و شفت</v>
      </c>
      <c r="V101" s="686">
        <v>1</v>
      </c>
      <c r="W101" s="613" t="s">
        <v>35</v>
      </c>
      <c r="X101" s="412" t="str">
        <f t="shared" si="52"/>
        <v>413030502</v>
      </c>
      <c r="Y101" s="413" t="str">
        <f t="shared" si="53"/>
        <v>صفحه شفت</v>
      </c>
      <c r="Z101" s="686" t="s">
        <v>348</v>
      </c>
      <c r="AA101" s="411">
        <f t="shared" si="54"/>
        <v>1</v>
      </c>
      <c r="AB101" s="654">
        <f t="shared" si="66"/>
        <v>1</v>
      </c>
      <c r="AC101" s="929">
        <f t="shared" si="67"/>
        <v>1</v>
      </c>
      <c r="AE101" s="700" t="str">
        <f t="shared" si="55"/>
        <v>413030502</v>
      </c>
      <c r="AF101" s="701" t="str">
        <f t="shared" si="56"/>
        <v>صفحه شفت</v>
      </c>
      <c r="AG101" s="411" t="str">
        <f t="shared" si="57"/>
        <v>Plate</v>
      </c>
      <c r="AH101" s="411" t="str">
        <f>F101</f>
        <v>St-37</v>
      </c>
      <c r="AI101" s="686" t="s">
        <v>427</v>
      </c>
      <c r="AJ101" s="842" t="s">
        <v>471</v>
      </c>
      <c r="AK101" s="886">
        <f t="shared" ref="AK101:AK102" si="69">M101/J101</f>
        <v>10.303125</v>
      </c>
      <c r="AL101" s="411" t="str">
        <f t="shared" si="61"/>
        <v>Kg</v>
      </c>
      <c r="AM101" s="1052">
        <f t="shared" si="37"/>
        <v>10.303125</v>
      </c>
      <c r="AP101"/>
      <c r="AQ101"/>
      <c r="AR101"/>
      <c r="AS101"/>
      <c r="BD101" s="1120" t="str">
        <f t="shared" si="58"/>
        <v>03</v>
      </c>
      <c r="BE101" s="1121" t="str">
        <f t="shared" si="59"/>
        <v>02</v>
      </c>
      <c r="BF101" s="1121" t="str">
        <f t="shared" si="59"/>
        <v>413030502</v>
      </c>
      <c r="BG101" s="1122" t="str">
        <f t="shared" si="47"/>
        <v>End Drum</v>
      </c>
      <c r="BH101" s="1122">
        <f t="shared" si="47"/>
        <v>1</v>
      </c>
      <c r="BI101" s="1123">
        <f t="shared" si="48"/>
        <v>1</v>
      </c>
    </row>
    <row r="102" spans="1:61" ht="15" x14ac:dyDescent="0.25">
      <c r="A102" s="1190">
        <v>95</v>
      </c>
      <c r="B102" s="143" t="s">
        <v>178</v>
      </c>
      <c r="C102" s="94" t="s">
        <v>143</v>
      </c>
      <c r="D102" s="95" t="s">
        <v>147</v>
      </c>
      <c r="E102" s="95" t="s">
        <v>3</v>
      </c>
      <c r="F102" s="95" t="s">
        <v>80</v>
      </c>
      <c r="G102" s="94">
        <v>10</v>
      </c>
      <c r="H102" s="94">
        <v>70</v>
      </c>
      <c r="I102" s="94">
        <v>120</v>
      </c>
      <c r="J102" s="94">
        <v>1</v>
      </c>
      <c r="K102" s="94" t="s">
        <v>29</v>
      </c>
      <c r="L102" s="96">
        <f>G102*H102*I102*J102*7.85/1000000</f>
        <v>0.65939999999999999</v>
      </c>
      <c r="M102" s="1193">
        <f>((((1500-(INT(1500/H102)*H102))/(INT(1500/H102)))+H102)*G102*I102*J102*7.85)/1000000</f>
        <v>0.67285714285714293</v>
      </c>
      <c r="N102" s="97">
        <f t="shared" si="68"/>
        <v>2.0408163265306256E-2</v>
      </c>
      <c r="O102" s="641"/>
      <c r="P102" s="408">
        <f t="shared" si="49"/>
        <v>413</v>
      </c>
      <c r="Q102" s="409" t="s">
        <v>36</v>
      </c>
      <c r="R102" s="410" t="str">
        <f t="shared" si="50"/>
        <v>End Drum</v>
      </c>
      <c r="S102" s="410">
        <v>1</v>
      </c>
      <c r="T102" s="613" t="s">
        <v>38</v>
      </c>
      <c r="U102" s="410" t="str">
        <f t="shared" si="51"/>
        <v>صفحه و شفت</v>
      </c>
      <c r="V102" s="686">
        <v>1</v>
      </c>
      <c r="W102" s="613" t="s">
        <v>36</v>
      </c>
      <c r="X102" s="412" t="str">
        <f t="shared" si="52"/>
        <v>413030503</v>
      </c>
      <c r="Y102" s="413" t="str">
        <f t="shared" si="53"/>
        <v>صفحه</v>
      </c>
      <c r="Z102" s="686" t="s">
        <v>349</v>
      </c>
      <c r="AA102" s="411">
        <f t="shared" si="54"/>
        <v>1</v>
      </c>
      <c r="AB102" s="654">
        <f t="shared" si="66"/>
        <v>1</v>
      </c>
      <c r="AC102" s="929">
        <f t="shared" si="67"/>
        <v>1</v>
      </c>
      <c r="AE102" s="700" t="str">
        <f t="shared" si="55"/>
        <v>413030503</v>
      </c>
      <c r="AF102" s="701" t="str">
        <f t="shared" si="56"/>
        <v>صفحه</v>
      </c>
      <c r="AG102" s="411" t="str">
        <f t="shared" si="57"/>
        <v>Plate</v>
      </c>
      <c r="AH102" s="411" t="str">
        <f>F102</f>
        <v>St-37</v>
      </c>
      <c r="AI102" s="686" t="s">
        <v>427</v>
      </c>
      <c r="AJ102" s="842" t="s">
        <v>471</v>
      </c>
      <c r="AK102" s="886">
        <f t="shared" si="69"/>
        <v>0.67285714285714293</v>
      </c>
      <c r="AL102" s="411" t="str">
        <f t="shared" si="61"/>
        <v>Kg</v>
      </c>
      <c r="AM102" s="1052">
        <f t="shared" si="37"/>
        <v>0.67285714285714293</v>
      </c>
      <c r="AP102"/>
      <c r="AQ102"/>
      <c r="AR102"/>
      <c r="AS102"/>
      <c r="BD102" s="1120" t="str">
        <f t="shared" si="58"/>
        <v>03</v>
      </c>
      <c r="BE102" s="1121" t="str">
        <f t="shared" si="59"/>
        <v>03</v>
      </c>
      <c r="BF102" s="1121" t="str">
        <f t="shared" si="59"/>
        <v>413030503</v>
      </c>
      <c r="BG102" s="1122" t="str">
        <f t="shared" si="47"/>
        <v>End Drum</v>
      </c>
      <c r="BH102" s="1122">
        <f t="shared" si="47"/>
        <v>1</v>
      </c>
      <c r="BI102" s="1123">
        <f t="shared" si="48"/>
        <v>1</v>
      </c>
    </row>
    <row r="103" spans="1:61" ht="15" x14ac:dyDescent="0.25">
      <c r="A103" s="1171">
        <v>96</v>
      </c>
      <c r="B103" s="143" t="s">
        <v>178</v>
      </c>
      <c r="C103" s="94" t="s">
        <v>143</v>
      </c>
      <c r="D103" s="95" t="s">
        <v>148</v>
      </c>
      <c r="E103" s="95" t="s">
        <v>8</v>
      </c>
      <c r="F103" s="95" t="s">
        <v>308</v>
      </c>
      <c r="G103" s="94">
        <v>5.6</v>
      </c>
      <c r="H103" s="94" t="s">
        <v>10</v>
      </c>
      <c r="I103" s="94" t="s">
        <v>20</v>
      </c>
      <c r="J103" s="94">
        <f>J82</f>
        <v>8</v>
      </c>
      <c r="K103" s="94" t="s">
        <v>30</v>
      </c>
      <c r="L103" s="94">
        <f>J103</f>
        <v>8</v>
      </c>
      <c r="M103" s="94">
        <f>J103</f>
        <v>8</v>
      </c>
      <c r="N103" s="97">
        <f t="shared" si="68"/>
        <v>0</v>
      </c>
      <c r="O103" s="641"/>
      <c r="P103" s="408">
        <f t="shared" si="49"/>
        <v>413</v>
      </c>
      <c r="Q103" s="409" t="s">
        <v>36</v>
      </c>
      <c r="R103" s="410" t="str">
        <f t="shared" si="50"/>
        <v>End Drum</v>
      </c>
      <c r="S103" s="410">
        <v>1</v>
      </c>
      <c r="T103" s="613" t="s">
        <v>38</v>
      </c>
      <c r="U103" s="410" t="str">
        <f t="shared" si="51"/>
        <v>صفحه و شفت</v>
      </c>
      <c r="V103" s="686">
        <v>1</v>
      </c>
      <c r="W103" s="613" t="s">
        <v>37</v>
      </c>
      <c r="X103" s="412" t="str">
        <f t="shared" si="52"/>
        <v>413030504</v>
      </c>
      <c r="Y103" s="413" t="str">
        <f t="shared" si="53"/>
        <v>پیچ صفحه شفت</v>
      </c>
      <c r="Z103" s="686" t="s">
        <v>308</v>
      </c>
      <c r="AA103" s="411">
        <f t="shared" si="54"/>
        <v>8</v>
      </c>
      <c r="AB103" s="654">
        <f t="shared" si="66"/>
        <v>8</v>
      </c>
      <c r="AC103" s="929">
        <f t="shared" si="67"/>
        <v>8</v>
      </c>
      <c r="AE103" s="700" t="str">
        <f t="shared" si="55"/>
        <v>413030504</v>
      </c>
      <c r="AF103" s="701" t="str">
        <f t="shared" si="56"/>
        <v>پیچ صفحه شفت</v>
      </c>
      <c r="AG103" s="411" t="str">
        <f t="shared" si="57"/>
        <v>Hex Bolt</v>
      </c>
      <c r="AH103" s="411" t="str">
        <f t="shared" si="62"/>
        <v>M14x140-5.6-Electroplated-Din 933</v>
      </c>
      <c r="AI103" s="686" t="s">
        <v>428</v>
      </c>
      <c r="AJ103" s="841" t="s">
        <v>389</v>
      </c>
      <c r="AK103" s="886" t="s">
        <v>484</v>
      </c>
      <c r="AL103" s="411" t="str">
        <f t="shared" si="61"/>
        <v>Pcs</v>
      </c>
      <c r="AM103" s="1052">
        <f t="shared" ref="AM103:AM166" si="70">AK103*AC103</f>
        <v>8</v>
      </c>
      <c r="AP103"/>
      <c r="AQ103"/>
      <c r="AR103"/>
      <c r="AS103"/>
      <c r="BD103" s="1120" t="str">
        <f t="shared" si="58"/>
        <v>03</v>
      </c>
      <c r="BE103" s="1121" t="str">
        <f t="shared" si="59"/>
        <v>04</v>
      </c>
      <c r="BF103" s="1121" t="str">
        <f t="shared" si="59"/>
        <v>413030504</v>
      </c>
      <c r="BG103" s="1122" t="str">
        <f t="shared" si="47"/>
        <v>End Drum</v>
      </c>
      <c r="BH103" s="1122">
        <f t="shared" si="47"/>
        <v>1</v>
      </c>
      <c r="BI103" s="1123">
        <f t="shared" si="48"/>
        <v>1</v>
      </c>
    </row>
    <row r="104" spans="1:61" ht="15" x14ac:dyDescent="0.25">
      <c r="A104" s="1171">
        <v>97</v>
      </c>
      <c r="B104" s="143" t="s">
        <v>178</v>
      </c>
      <c r="C104" s="94" t="s">
        <v>143</v>
      </c>
      <c r="D104" s="95" t="s">
        <v>149</v>
      </c>
      <c r="E104" s="95" t="s">
        <v>9</v>
      </c>
      <c r="F104" s="95" t="s">
        <v>150</v>
      </c>
      <c r="G104" s="94">
        <v>5</v>
      </c>
      <c r="H104" s="94" t="s">
        <v>10</v>
      </c>
      <c r="I104" s="94" t="s">
        <v>21</v>
      </c>
      <c r="J104" s="94">
        <f>J103</f>
        <v>8</v>
      </c>
      <c r="K104" s="94" t="s">
        <v>30</v>
      </c>
      <c r="L104" s="94">
        <f>J104</f>
        <v>8</v>
      </c>
      <c r="M104" s="94">
        <f>J104</f>
        <v>8</v>
      </c>
      <c r="N104" s="97">
        <f t="shared" si="68"/>
        <v>0</v>
      </c>
      <c r="O104" s="641"/>
      <c r="P104" s="408">
        <f t="shared" si="49"/>
        <v>413</v>
      </c>
      <c r="Q104" s="409" t="s">
        <v>36</v>
      </c>
      <c r="R104" s="410" t="str">
        <f t="shared" si="50"/>
        <v>End Drum</v>
      </c>
      <c r="S104" s="410">
        <v>1</v>
      </c>
      <c r="T104" s="613" t="s">
        <v>38</v>
      </c>
      <c r="U104" s="410" t="str">
        <f t="shared" si="51"/>
        <v>صفحه و شفت</v>
      </c>
      <c r="V104" s="686">
        <v>1</v>
      </c>
      <c r="W104" s="613" t="s">
        <v>38</v>
      </c>
      <c r="X104" s="412" t="str">
        <f t="shared" si="52"/>
        <v>413030505</v>
      </c>
      <c r="Y104" s="413" t="str">
        <f t="shared" si="53"/>
        <v>مهره صفحه شفت</v>
      </c>
      <c r="Z104" s="686" t="s">
        <v>150</v>
      </c>
      <c r="AA104" s="411">
        <f t="shared" si="54"/>
        <v>8</v>
      </c>
      <c r="AB104" s="654">
        <f t="shared" si="66"/>
        <v>8</v>
      </c>
      <c r="AC104" s="929">
        <f t="shared" si="67"/>
        <v>8</v>
      </c>
      <c r="AE104" s="700" t="str">
        <f t="shared" si="55"/>
        <v>413030505</v>
      </c>
      <c r="AF104" s="701" t="str">
        <f t="shared" si="56"/>
        <v>مهره صفحه شفت</v>
      </c>
      <c r="AG104" s="411" t="str">
        <f t="shared" si="57"/>
        <v>Hex Nut</v>
      </c>
      <c r="AH104" s="411" t="str">
        <f t="shared" si="62"/>
        <v>M14-5-Electroplated-Din 934</v>
      </c>
      <c r="AI104" s="1060" t="s">
        <v>429</v>
      </c>
      <c r="AJ104" s="841" t="s">
        <v>390</v>
      </c>
      <c r="AK104" s="886" t="s">
        <v>484</v>
      </c>
      <c r="AL104" s="411" t="str">
        <f t="shared" si="61"/>
        <v>Pcs</v>
      </c>
      <c r="AM104" s="1052">
        <f t="shared" si="70"/>
        <v>8</v>
      </c>
      <c r="AP104"/>
      <c r="AQ104"/>
      <c r="AR104"/>
      <c r="AS104"/>
      <c r="BD104" s="1120" t="str">
        <f t="shared" si="58"/>
        <v>03</v>
      </c>
      <c r="BE104" s="1121" t="str">
        <f t="shared" si="59"/>
        <v>05</v>
      </c>
      <c r="BF104" s="1121" t="str">
        <f t="shared" si="59"/>
        <v>413030505</v>
      </c>
      <c r="BG104" s="1122" t="str">
        <f t="shared" si="47"/>
        <v>End Drum</v>
      </c>
      <c r="BH104" s="1122">
        <f t="shared" si="47"/>
        <v>1</v>
      </c>
      <c r="BI104" s="1123">
        <f t="shared" si="48"/>
        <v>1</v>
      </c>
    </row>
    <row r="105" spans="1:61" ht="15.75" thickBot="1" x14ac:dyDescent="0.3">
      <c r="A105" s="1174">
        <v>98</v>
      </c>
      <c r="B105" s="147" t="s">
        <v>178</v>
      </c>
      <c r="C105" s="148" t="s">
        <v>143</v>
      </c>
      <c r="D105" s="149" t="s">
        <v>151</v>
      </c>
      <c r="E105" s="149" t="s">
        <v>18</v>
      </c>
      <c r="F105" s="149" t="s">
        <v>152</v>
      </c>
      <c r="G105" s="148" t="s">
        <v>24</v>
      </c>
      <c r="H105" s="148" t="s">
        <v>10</v>
      </c>
      <c r="I105" s="148" t="s">
        <v>22</v>
      </c>
      <c r="J105" s="148">
        <f>J104</f>
        <v>8</v>
      </c>
      <c r="K105" s="148" t="s">
        <v>30</v>
      </c>
      <c r="L105" s="148">
        <f>J105</f>
        <v>8</v>
      </c>
      <c r="M105" s="148">
        <f>J105</f>
        <v>8</v>
      </c>
      <c r="N105" s="150">
        <f t="shared" si="68"/>
        <v>0</v>
      </c>
      <c r="O105" s="641"/>
      <c r="P105" s="414">
        <f t="shared" si="49"/>
        <v>413</v>
      </c>
      <c r="Q105" s="415" t="s">
        <v>36</v>
      </c>
      <c r="R105" s="416" t="str">
        <f t="shared" si="50"/>
        <v>End Drum</v>
      </c>
      <c r="S105" s="416">
        <v>1</v>
      </c>
      <c r="T105" s="938" t="s">
        <v>38</v>
      </c>
      <c r="U105" s="416" t="str">
        <f t="shared" si="51"/>
        <v>صفحه و شفت</v>
      </c>
      <c r="V105" s="939">
        <v>1</v>
      </c>
      <c r="W105" s="938" t="s">
        <v>39</v>
      </c>
      <c r="X105" s="418" t="str">
        <f t="shared" si="52"/>
        <v>413030506</v>
      </c>
      <c r="Y105" s="419" t="str">
        <f t="shared" si="53"/>
        <v>واشر فنری صفحه شفت</v>
      </c>
      <c r="Z105" s="939" t="s">
        <v>152</v>
      </c>
      <c r="AA105" s="417">
        <f t="shared" si="54"/>
        <v>8</v>
      </c>
      <c r="AB105" s="940">
        <f t="shared" si="66"/>
        <v>8</v>
      </c>
      <c r="AC105" s="941">
        <f t="shared" si="67"/>
        <v>8</v>
      </c>
      <c r="AE105" s="769" t="str">
        <f t="shared" si="55"/>
        <v>413030506</v>
      </c>
      <c r="AF105" s="770" t="str">
        <f t="shared" si="56"/>
        <v>واشر فنری صفحه شفت</v>
      </c>
      <c r="AG105" s="504" t="str">
        <f t="shared" si="57"/>
        <v>Spring Washer</v>
      </c>
      <c r="AH105" s="504" t="str">
        <f t="shared" si="62"/>
        <v>A14-F-Electroplated-Din 127</v>
      </c>
      <c r="AI105" s="687" t="s">
        <v>430</v>
      </c>
      <c r="AJ105" s="843" t="s">
        <v>391</v>
      </c>
      <c r="AK105" s="887" t="s">
        <v>484</v>
      </c>
      <c r="AL105" s="504" t="str">
        <f t="shared" si="61"/>
        <v>Pcs</v>
      </c>
      <c r="AM105" s="1053">
        <f t="shared" si="70"/>
        <v>8</v>
      </c>
      <c r="AP105"/>
      <c r="AQ105"/>
      <c r="AR105"/>
      <c r="AS105"/>
      <c r="BD105" s="1120" t="str">
        <f t="shared" si="58"/>
        <v>03</v>
      </c>
      <c r="BE105" s="1121" t="str">
        <f t="shared" si="59"/>
        <v>06</v>
      </c>
      <c r="BF105" s="1121" t="str">
        <f t="shared" si="59"/>
        <v>413030506</v>
      </c>
      <c r="BG105" s="1122" t="str">
        <f t="shared" si="47"/>
        <v>End Drum</v>
      </c>
      <c r="BH105" s="1122">
        <f t="shared" si="47"/>
        <v>1</v>
      </c>
      <c r="BI105" s="1123">
        <f t="shared" si="48"/>
        <v>1</v>
      </c>
    </row>
    <row r="106" spans="1:61" ht="15" x14ac:dyDescent="0.25">
      <c r="A106" s="1170">
        <v>99</v>
      </c>
      <c r="B106" s="260" t="s">
        <v>178</v>
      </c>
      <c r="C106" s="261" t="s">
        <v>153</v>
      </c>
      <c r="D106" s="262" t="s">
        <v>156</v>
      </c>
      <c r="E106" s="262" t="s">
        <v>3</v>
      </c>
      <c r="F106" s="262" t="s">
        <v>80</v>
      </c>
      <c r="G106" s="261">
        <v>4</v>
      </c>
      <c r="H106" s="261">
        <v>162</v>
      </c>
      <c r="I106" s="261">
        <f>IF(E1=1500,665,IF(E1=2000,915,IF(E1=2500,1165,1415)))</f>
        <v>915</v>
      </c>
      <c r="J106" s="261">
        <f>J83</f>
        <v>4</v>
      </c>
      <c r="K106" s="261" t="s">
        <v>29</v>
      </c>
      <c r="L106" s="264">
        <f>G106*H106*I106*J106*7.85/1000000</f>
        <v>18.617688000000001</v>
      </c>
      <c r="M106" s="261">
        <f>((((1250-(INT(1250/H106)*H106))/(INT(1250/H106)))+H106)*G106*I106*J106*7.85)/1000000</f>
        <v>20.522142857142857</v>
      </c>
      <c r="N106" s="263">
        <f t="shared" si="68"/>
        <v>0.10229276895943554</v>
      </c>
      <c r="O106" s="641"/>
      <c r="P106" s="373">
        <f t="shared" si="49"/>
        <v>413</v>
      </c>
      <c r="Q106" s="374" t="s">
        <v>36</v>
      </c>
      <c r="R106" s="375" t="str">
        <f t="shared" si="50"/>
        <v>End Drum</v>
      </c>
      <c r="S106" s="375">
        <v>1</v>
      </c>
      <c r="T106" s="614" t="s">
        <v>39</v>
      </c>
      <c r="U106" s="375" t="str">
        <f t="shared" si="51"/>
        <v>بازو</v>
      </c>
      <c r="V106" s="688">
        <v>1</v>
      </c>
      <c r="W106" s="614" t="s">
        <v>34</v>
      </c>
      <c r="X106" s="377" t="str">
        <f t="shared" si="52"/>
        <v>413030601</v>
      </c>
      <c r="Y106" s="378" t="str">
        <f t="shared" si="53"/>
        <v>ناودانی بازو</v>
      </c>
      <c r="Z106" s="688" t="str">
        <f>"4"&amp;"x"&amp;"162"&amp;"x"&amp;I106</f>
        <v>4x162x915</v>
      </c>
      <c r="AA106" s="376">
        <f t="shared" si="54"/>
        <v>4</v>
      </c>
      <c r="AB106" s="655">
        <f t="shared" si="66"/>
        <v>4</v>
      </c>
      <c r="AC106" s="944">
        <f t="shared" si="67"/>
        <v>4</v>
      </c>
      <c r="AE106" s="742" t="str">
        <f t="shared" si="55"/>
        <v>413030601</v>
      </c>
      <c r="AF106" s="743" t="str">
        <f t="shared" si="56"/>
        <v>ناودانی بازو</v>
      </c>
      <c r="AG106" s="376" t="str">
        <f t="shared" si="57"/>
        <v>Plate</v>
      </c>
      <c r="AH106" s="376" t="str">
        <f>F106</f>
        <v>St-37</v>
      </c>
      <c r="AI106" s="688" t="s">
        <v>413</v>
      </c>
      <c r="AJ106" s="844" t="s">
        <v>464</v>
      </c>
      <c r="AK106" s="888">
        <f>M106/J106</f>
        <v>5.1305357142857142</v>
      </c>
      <c r="AL106" s="376" t="str">
        <f t="shared" si="61"/>
        <v>Kg</v>
      </c>
      <c r="AM106" s="1055">
        <f t="shared" si="70"/>
        <v>20.522142857142857</v>
      </c>
      <c r="AP106"/>
      <c r="AQ106"/>
      <c r="AR106"/>
      <c r="AS106"/>
      <c r="BD106" s="1120" t="str">
        <f t="shared" si="58"/>
        <v>03</v>
      </c>
      <c r="BE106" s="1121" t="str">
        <f t="shared" si="59"/>
        <v>01</v>
      </c>
      <c r="BF106" s="1121" t="str">
        <f t="shared" si="59"/>
        <v>413030601</v>
      </c>
      <c r="BG106" s="1122" t="str">
        <f t="shared" si="47"/>
        <v>End Drum</v>
      </c>
      <c r="BH106" s="1122">
        <f t="shared" si="47"/>
        <v>1</v>
      </c>
      <c r="BI106" s="1123">
        <f t="shared" si="48"/>
        <v>1</v>
      </c>
    </row>
    <row r="107" spans="1:61" ht="15" x14ac:dyDescent="0.25">
      <c r="A107" s="1195">
        <v>100</v>
      </c>
      <c r="B107" s="151" t="s">
        <v>178</v>
      </c>
      <c r="C107" s="86" t="s">
        <v>153</v>
      </c>
      <c r="D107" s="87" t="s">
        <v>157</v>
      </c>
      <c r="E107" s="87" t="s">
        <v>158</v>
      </c>
      <c r="F107" s="87" t="s">
        <v>159</v>
      </c>
      <c r="G107" s="86" t="s">
        <v>160</v>
      </c>
      <c r="H107" s="86">
        <v>22</v>
      </c>
      <c r="I107" s="86">
        <v>88</v>
      </c>
      <c r="J107" s="86">
        <f>J82</f>
        <v>8</v>
      </c>
      <c r="K107" s="86" t="s">
        <v>6</v>
      </c>
      <c r="L107" s="86">
        <f>J107*I107</f>
        <v>704</v>
      </c>
      <c r="M107" s="1194">
        <f>(((6000-(INT(6000/I107)*I107))/(INT(6000/I107)))+I107)*J107</f>
        <v>705.88235294117646</v>
      </c>
      <c r="N107" s="89">
        <f t="shared" si="68"/>
        <v>2.6737967914438406E-3</v>
      </c>
      <c r="O107" s="641"/>
      <c r="P107" s="379">
        <f t="shared" si="49"/>
        <v>413</v>
      </c>
      <c r="Q107" s="380" t="s">
        <v>36</v>
      </c>
      <c r="R107" s="381" t="str">
        <f t="shared" si="50"/>
        <v>End Drum</v>
      </c>
      <c r="S107" s="381">
        <v>1</v>
      </c>
      <c r="T107" s="615" t="s">
        <v>39</v>
      </c>
      <c r="U107" s="381" t="str">
        <f t="shared" si="51"/>
        <v>بازو</v>
      </c>
      <c r="V107" s="505">
        <v>1</v>
      </c>
      <c r="W107" s="615" t="s">
        <v>35</v>
      </c>
      <c r="X107" s="383" t="str">
        <f t="shared" si="52"/>
        <v>413030602</v>
      </c>
      <c r="Y107" s="384" t="str">
        <f t="shared" si="53"/>
        <v>لوله تقویتی ناودانی بازو</v>
      </c>
      <c r="Z107" s="505" t="s">
        <v>350</v>
      </c>
      <c r="AA107" s="382">
        <f t="shared" si="54"/>
        <v>8</v>
      </c>
      <c r="AB107" s="656">
        <f t="shared" si="66"/>
        <v>8</v>
      </c>
      <c r="AC107" s="945">
        <f t="shared" si="67"/>
        <v>8</v>
      </c>
      <c r="AE107" s="744" t="str">
        <f t="shared" si="55"/>
        <v>413030602</v>
      </c>
      <c r="AF107" s="745" t="str">
        <f t="shared" si="56"/>
        <v>لوله تقویتی ناودانی بازو</v>
      </c>
      <c r="AG107" s="382" t="str">
        <f t="shared" si="57"/>
        <v>Pipe</v>
      </c>
      <c r="AH107" s="382" t="str">
        <f>F107&amp;"-"&amp;G107</f>
        <v>A-53-1/2"-Sch30</v>
      </c>
      <c r="AI107" s="828" t="s">
        <v>431</v>
      </c>
      <c r="AJ107" s="845" t="s">
        <v>107</v>
      </c>
      <c r="AK107" s="889">
        <f t="shared" ref="AK107:AK108" si="71">M107/J107</f>
        <v>88.235294117647058</v>
      </c>
      <c r="AL107" s="382" t="str">
        <f t="shared" si="61"/>
        <v>mm</v>
      </c>
      <c r="AM107" s="1056">
        <f t="shared" si="70"/>
        <v>705.88235294117646</v>
      </c>
      <c r="AP107"/>
      <c r="AQ107"/>
      <c r="AR107"/>
      <c r="AS107"/>
      <c r="BD107" s="1120" t="str">
        <f t="shared" si="58"/>
        <v>03</v>
      </c>
      <c r="BE107" s="1121" t="str">
        <f t="shared" si="59"/>
        <v>02</v>
      </c>
      <c r="BF107" s="1121" t="str">
        <f t="shared" si="59"/>
        <v>413030602</v>
      </c>
      <c r="BG107" s="1122" t="str">
        <f t="shared" si="47"/>
        <v>End Drum</v>
      </c>
      <c r="BH107" s="1122">
        <f t="shared" si="47"/>
        <v>1</v>
      </c>
      <c r="BI107" s="1123">
        <f t="shared" si="48"/>
        <v>1</v>
      </c>
    </row>
    <row r="108" spans="1:61" ht="15" x14ac:dyDescent="0.25">
      <c r="A108" s="1171">
        <v>101</v>
      </c>
      <c r="B108" s="151" t="s">
        <v>178</v>
      </c>
      <c r="C108" s="86" t="s">
        <v>153</v>
      </c>
      <c r="D108" s="87" t="s">
        <v>161</v>
      </c>
      <c r="E108" s="87" t="s">
        <v>3</v>
      </c>
      <c r="F108" s="87" t="s">
        <v>80</v>
      </c>
      <c r="G108" s="86">
        <v>8</v>
      </c>
      <c r="H108" s="86">
        <v>155</v>
      </c>
      <c r="I108" s="86">
        <v>270</v>
      </c>
      <c r="J108" s="86">
        <f>J106</f>
        <v>4</v>
      </c>
      <c r="K108" s="86" t="s">
        <v>29</v>
      </c>
      <c r="L108" s="88">
        <f>J108*I108*H108*G108*7.85/1000000</f>
        <v>10.51272</v>
      </c>
      <c r="M108" s="86">
        <f>((((1500-(INT(1500/H108)*H108))/(INT(1500/H108)))+H108)*G108*I108*J108*7.85)/1000000</f>
        <v>11.304</v>
      </c>
      <c r="N108" s="89">
        <f t="shared" si="68"/>
        <v>7.5268817204301119E-2</v>
      </c>
      <c r="O108" s="641"/>
      <c r="P108" s="379">
        <f t="shared" si="49"/>
        <v>413</v>
      </c>
      <c r="Q108" s="380" t="s">
        <v>36</v>
      </c>
      <c r="R108" s="381" t="str">
        <f t="shared" si="50"/>
        <v>End Drum</v>
      </c>
      <c r="S108" s="381">
        <v>1</v>
      </c>
      <c r="T108" s="615" t="s">
        <v>39</v>
      </c>
      <c r="U108" s="381" t="str">
        <f t="shared" si="51"/>
        <v>بازو</v>
      </c>
      <c r="V108" s="505">
        <v>1</v>
      </c>
      <c r="W108" s="615" t="s">
        <v>36</v>
      </c>
      <c r="X108" s="383" t="str">
        <f t="shared" si="52"/>
        <v>413030603</v>
      </c>
      <c r="Y108" s="384" t="str">
        <f t="shared" si="53"/>
        <v>ورق اتصال مثلثی</v>
      </c>
      <c r="Z108" s="505" t="s">
        <v>351</v>
      </c>
      <c r="AA108" s="382">
        <f t="shared" si="54"/>
        <v>4</v>
      </c>
      <c r="AB108" s="656">
        <f t="shared" si="66"/>
        <v>4</v>
      </c>
      <c r="AC108" s="945">
        <f t="shared" si="67"/>
        <v>4</v>
      </c>
      <c r="AE108" s="744" t="str">
        <f t="shared" si="55"/>
        <v>413030603</v>
      </c>
      <c r="AF108" s="745" t="str">
        <f t="shared" si="56"/>
        <v>ورق اتصال مثلثی</v>
      </c>
      <c r="AG108" s="382" t="str">
        <f t="shared" si="57"/>
        <v>Plate</v>
      </c>
      <c r="AH108" s="382" t="str">
        <f>F108</f>
        <v>St-37</v>
      </c>
      <c r="AI108" s="505" t="s">
        <v>432</v>
      </c>
      <c r="AJ108" s="845" t="s">
        <v>472</v>
      </c>
      <c r="AK108" s="889">
        <f t="shared" si="71"/>
        <v>2.8260000000000001</v>
      </c>
      <c r="AL108" s="382" t="str">
        <f t="shared" si="61"/>
        <v>Kg</v>
      </c>
      <c r="AM108" s="1056">
        <f t="shared" si="70"/>
        <v>11.304</v>
      </c>
      <c r="AP108"/>
      <c r="AQ108"/>
      <c r="AR108"/>
      <c r="AS108"/>
      <c r="BD108" s="1120" t="str">
        <f t="shared" si="58"/>
        <v>03</v>
      </c>
      <c r="BE108" s="1121" t="str">
        <f t="shared" si="59"/>
        <v>03</v>
      </c>
      <c r="BF108" s="1121" t="str">
        <f t="shared" si="59"/>
        <v>413030603</v>
      </c>
      <c r="BG108" s="1122" t="str">
        <f t="shared" si="47"/>
        <v>End Drum</v>
      </c>
      <c r="BH108" s="1122">
        <f t="shared" si="47"/>
        <v>1</v>
      </c>
      <c r="BI108" s="1123">
        <f t="shared" si="48"/>
        <v>1</v>
      </c>
    </row>
    <row r="109" spans="1:61" ht="15" x14ac:dyDescent="0.25">
      <c r="A109" s="1171">
        <v>102</v>
      </c>
      <c r="B109" s="151" t="s">
        <v>178</v>
      </c>
      <c r="C109" s="86" t="s">
        <v>153</v>
      </c>
      <c r="D109" s="87" t="s">
        <v>162</v>
      </c>
      <c r="E109" s="87" t="s">
        <v>8</v>
      </c>
      <c r="F109" s="87" t="s">
        <v>163</v>
      </c>
      <c r="G109" s="86">
        <v>5.6</v>
      </c>
      <c r="H109" s="86" t="s">
        <v>10</v>
      </c>
      <c r="I109" s="86" t="s">
        <v>20</v>
      </c>
      <c r="J109" s="86">
        <f>J107</f>
        <v>8</v>
      </c>
      <c r="K109" s="86" t="s">
        <v>30</v>
      </c>
      <c r="L109" s="86">
        <f t="shared" ref="L109:L117" si="72">J109</f>
        <v>8</v>
      </c>
      <c r="M109" s="86">
        <f t="shared" ref="M109:M117" si="73">J109</f>
        <v>8</v>
      </c>
      <c r="N109" s="89">
        <f t="shared" si="68"/>
        <v>0</v>
      </c>
      <c r="O109" s="641"/>
      <c r="P109" s="379">
        <f t="shared" si="49"/>
        <v>413</v>
      </c>
      <c r="Q109" s="380" t="s">
        <v>36</v>
      </c>
      <c r="R109" s="381" t="str">
        <f t="shared" si="50"/>
        <v>End Drum</v>
      </c>
      <c r="S109" s="381">
        <v>1</v>
      </c>
      <c r="T109" s="615" t="s">
        <v>39</v>
      </c>
      <c r="U109" s="381" t="str">
        <f t="shared" si="51"/>
        <v>بازو</v>
      </c>
      <c r="V109" s="505">
        <v>1</v>
      </c>
      <c r="W109" s="615" t="s">
        <v>37</v>
      </c>
      <c r="X109" s="383" t="str">
        <f t="shared" si="52"/>
        <v>413030604</v>
      </c>
      <c r="Y109" s="384" t="str">
        <f t="shared" si="53"/>
        <v>پیچ اتصال صفحه مثلثی به بدنه</v>
      </c>
      <c r="Z109" s="505" t="s">
        <v>163</v>
      </c>
      <c r="AA109" s="382">
        <f t="shared" si="54"/>
        <v>8</v>
      </c>
      <c r="AB109" s="656">
        <f t="shared" si="66"/>
        <v>8</v>
      </c>
      <c r="AC109" s="945">
        <f t="shared" si="67"/>
        <v>8</v>
      </c>
      <c r="AE109" s="744" t="str">
        <f t="shared" si="55"/>
        <v>413030604</v>
      </c>
      <c r="AF109" s="745" t="str">
        <f t="shared" si="56"/>
        <v>پیچ اتصال صفحه مثلثی به بدنه</v>
      </c>
      <c r="AG109" s="382" t="str">
        <f t="shared" si="57"/>
        <v>Hex Bolt</v>
      </c>
      <c r="AH109" s="382" t="str">
        <f t="shared" si="62"/>
        <v>M8x30-5.6-Electroplated-Din 933</v>
      </c>
      <c r="AI109" s="505" t="s">
        <v>433</v>
      </c>
      <c r="AJ109" s="845" t="s">
        <v>392</v>
      </c>
      <c r="AK109" s="889" t="s">
        <v>484</v>
      </c>
      <c r="AL109" s="382" t="str">
        <f t="shared" si="61"/>
        <v>Pcs</v>
      </c>
      <c r="AM109" s="1056">
        <f t="shared" si="70"/>
        <v>8</v>
      </c>
      <c r="AP109"/>
      <c r="AQ109"/>
      <c r="AR109"/>
      <c r="AS109"/>
      <c r="BD109" s="1120" t="str">
        <f t="shared" si="58"/>
        <v>03</v>
      </c>
      <c r="BE109" s="1121" t="str">
        <f t="shared" si="59"/>
        <v>04</v>
      </c>
      <c r="BF109" s="1121" t="str">
        <f t="shared" si="59"/>
        <v>413030604</v>
      </c>
      <c r="BG109" s="1122" t="str">
        <f t="shared" si="47"/>
        <v>End Drum</v>
      </c>
      <c r="BH109" s="1122">
        <f t="shared" si="47"/>
        <v>1</v>
      </c>
      <c r="BI109" s="1123">
        <f t="shared" si="48"/>
        <v>1</v>
      </c>
    </row>
    <row r="110" spans="1:61" ht="15" x14ac:dyDescent="0.25">
      <c r="A110" s="1171">
        <v>103</v>
      </c>
      <c r="B110" s="151" t="s">
        <v>178</v>
      </c>
      <c r="C110" s="86" t="s">
        <v>153</v>
      </c>
      <c r="D110" s="87" t="s">
        <v>164</v>
      </c>
      <c r="E110" s="87" t="s">
        <v>9</v>
      </c>
      <c r="F110" s="87" t="s">
        <v>27</v>
      </c>
      <c r="G110" s="86">
        <v>5</v>
      </c>
      <c r="H110" s="86" t="s">
        <v>10</v>
      </c>
      <c r="I110" s="86" t="s">
        <v>21</v>
      </c>
      <c r="J110" s="86">
        <f>J109</f>
        <v>8</v>
      </c>
      <c r="K110" s="86" t="s">
        <v>30</v>
      </c>
      <c r="L110" s="86">
        <f t="shared" si="72"/>
        <v>8</v>
      </c>
      <c r="M110" s="86">
        <f t="shared" si="73"/>
        <v>8</v>
      </c>
      <c r="N110" s="89">
        <f t="shared" si="68"/>
        <v>0</v>
      </c>
      <c r="O110" s="641"/>
      <c r="P110" s="379">
        <f t="shared" si="49"/>
        <v>413</v>
      </c>
      <c r="Q110" s="380" t="s">
        <v>36</v>
      </c>
      <c r="R110" s="381" t="str">
        <f t="shared" si="50"/>
        <v>End Drum</v>
      </c>
      <c r="S110" s="381">
        <v>1</v>
      </c>
      <c r="T110" s="615" t="s">
        <v>39</v>
      </c>
      <c r="U110" s="381" t="str">
        <f t="shared" si="51"/>
        <v>بازو</v>
      </c>
      <c r="V110" s="505">
        <v>1</v>
      </c>
      <c r="W110" s="615" t="s">
        <v>38</v>
      </c>
      <c r="X110" s="383" t="str">
        <f t="shared" si="52"/>
        <v>413030605</v>
      </c>
      <c r="Y110" s="384" t="str">
        <f t="shared" si="53"/>
        <v>مهره اتصال صفحه مثلثی به بدنه</v>
      </c>
      <c r="Z110" s="505" t="s">
        <v>340</v>
      </c>
      <c r="AA110" s="382">
        <f t="shared" si="54"/>
        <v>8</v>
      </c>
      <c r="AB110" s="656">
        <f t="shared" si="66"/>
        <v>8</v>
      </c>
      <c r="AC110" s="945">
        <f t="shared" si="67"/>
        <v>8</v>
      </c>
      <c r="AE110" s="744" t="str">
        <f t="shared" si="55"/>
        <v>413030605</v>
      </c>
      <c r="AF110" s="745" t="str">
        <f t="shared" si="56"/>
        <v>مهره اتصال صفحه مثلثی به بدنه</v>
      </c>
      <c r="AG110" s="382" t="str">
        <f t="shared" si="57"/>
        <v>Hex Nut</v>
      </c>
      <c r="AH110" s="382" t="str">
        <f t="shared" si="62"/>
        <v>M8-5-Electroplated-Din 934</v>
      </c>
      <c r="AI110" s="828" t="s">
        <v>416</v>
      </c>
      <c r="AJ110" s="845" t="s">
        <v>110</v>
      </c>
      <c r="AK110" s="889" t="s">
        <v>484</v>
      </c>
      <c r="AL110" s="382" t="str">
        <f t="shared" si="61"/>
        <v>Pcs</v>
      </c>
      <c r="AM110" s="1056">
        <f t="shared" si="70"/>
        <v>8</v>
      </c>
      <c r="AP110"/>
      <c r="AQ110"/>
      <c r="AR110"/>
      <c r="AS110"/>
      <c r="BD110" s="1120" t="str">
        <f t="shared" si="58"/>
        <v>03</v>
      </c>
      <c r="BE110" s="1121" t="str">
        <f t="shared" si="59"/>
        <v>05</v>
      </c>
      <c r="BF110" s="1121" t="str">
        <f t="shared" si="59"/>
        <v>413030605</v>
      </c>
      <c r="BG110" s="1122" t="str">
        <f t="shared" si="47"/>
        <v>End Drum</v>
      </c>
      <c r="BH110" s="1122">
        <f t="shared" si="47"/>
        <v>1</v>
      </c>
      <c r="BI110" s="1123">
        <f t="shared" si="48"/>
        <v>1</v>
      </c>
    </row>
    <row r="111" spans="1:61" ht="15" x14ac:dyDescent="0.25">
      <c r="A111" s="1171">
        <v>104</v>
      </c>
      <c r="B111" s="151" t="s">
        <v>178</v>
      </c>
      <c r="C111" s="86" t="s">
        <v>153</v>
      </c>
      <c r="D111" s="87" t="s">
        <v>165</v>
      </c>
      <c r="E111" s="87" t="s">
        <v>18</v>
      </c>
      <c r="F111" s="87" t="s">
        <v>28</v>
      </c>
      <c r="G111" s="86" t="s">
        <v>24</v>
      </c>
      <c r="H111" s="86" t="s">
        <v>10</v>
      </c>
      <c r="I111" s="86" t="s">
        <v>22</v>
      </c>
      <c r="J111" s="86">
        <f>J110</f>
        <v>8</v>
      </c>
      <c r="K111" s="86" t="s">
        <v>30</v>
      </c>
      <c r="L111" s="86">
        <f t="shared" si="72"/>
        <v>8</v>
      </c>
      <c r="M111" s="86">
        <f t="shared" si="73"/>
        <v>8</v>
      </c>
      <c r="N111" s="89">
        <f t="shared" si="68"/>
        <v>0</v>
      </c>
      <c r="O111" s="641"/>
      <c r="P111" s="379">
        <f t="shared" si="49"/>
        <v>413</v>
      </c>
      <c r="Q111" s="380" t="s">
        <v>36</v>
      </c>
      <c r="R111" s="381" t="str">
        <f t="shared" si="50"/>
        <v>End Drum</v>
      </c>
      <c r="S111" s="381">
        <v>1</v>
      </c>
      <c r="T111" s="615" t="s">
        <v>39</v>
      </c>
      <c r="U111" s="381" t="str">
        <f t="shared" si="51"/>
        <v>بازو</v>
      </c>
      <c r="V111" s="505">
        <v>1</v>
      </c>
      <c r="W111" s="615" t="s">
        <v>39</v>
      </c>
      <c r="X111" s="383" t="str">
        <f t="shared" si="52"/>
        <v>413030606</v>
      </c>
      <c r="Y111" s="384" t="str">
        <f t="shared" si="53"/>
        <v>واشر فنری اتصال صفحه مثلثی به بدنه</v>
      </c>
      <c r="Z111" s="505" t="s">
        <v>28</v>
      </c>
      <c r="AA111" s="382">
        <f t="shared" si="54"/>
        <v>8</v>
      </c>
      <c r="AB111" s="656">
        <f t="shared" si="66"/>
        <v>8</v>
      </c>
      <c r="AC111" s="945">
        <f t="shared" si="67"/>
        <v>8</v>
      </c>
      <c r="AE111" s="744" t="str">
        <f t="shared" si="55"/>
        <v>413030606</v>
      </c>
      <c r="AF111" s="745" t="str">
        <f t="shared" si="56"/>
        <v>واشر فنری اتصال صفحه مثلثی به بدنه</v>
      </c>
      <c r="AG111" s="382" t="str">
        <f t="shared" si="57"/>
        <v>Spring Washer</v>
      </c>
      <c r="AH111" s="382" t="str">
        <f t="shared" si="62"/>
        <v>A8-F-Electroplated-Din 127</v>
      </c>
      <c r="AI111" s="505" t="s">
        <v>417</v>
      </c>
      <c r="AJ111" s="845" t="s">
        <v>384</v>
      </c>
      <c r="AK111" s="889" t="s">
        <v>484</v>
      </c>
      <c r="AL111" s="382" t="str">
        <f t="shared" si="61"/>
        <v>Pcs</v>
      </c>
      <c r="AM111" s="1056">
        <f t="shared" si="70"/>
        <v>8</v>
      </c>
      <c r="AP111"/>
      <c r="AQ111"/>
      <c r="AR111"/>
      <c r="AS111"/>
      <c r="BD111" s="1120" t="str">
        <f t="shared" si="58"/>
        <v>03</v>
      </c>
      <c r="BE111" s="1121" t="str">
        <f t="shared" si="59"/>
        <v>06</v>
      </c>
      <c r="BF111" s="1121" t="str">
        <f t="shared" si="59"/>
        <v>413030606</v>
      </c>
      <c r="BG111" s="1122" t="str">
        <f t="shared" si="47"/>
        <v>End Drum</v>
      </c>
      <c r="BH111" s="1122">
        <f t="shared" si="47"/>
        <v>1</v>
      </c>
      <c r="BI111" s="1123">
        <f t="shared" si="48"/>
        <v>1</v>
      </c>
    </row>
    <row r="112" spans="1:61" ht="15" x14ac:dyDescent="0.25">
      <c r="A112" s="1171">
        <v>105</v>
      </c>
      <c r="B112" s="151" t="s">
        <v>178</v>
      </c>
      <c r="C112" s="86" t="s">
        <v>153</v>
      </c>
      <c r="D112" s="87" t="s">
        <v>309</v>
      </c>
      <c r="E112" s="87" t="s">
        <v>8</v>
      </c>
      <c r="F112" s="87" t="s">
        <v>23</v>
      </c>
      <c r="G112" s="86">
        <v>5.6</v>
      </c>
      <c r="H112" s="86" t="s">
        <v>10</v>
      </c>
      <c r="I112" s="86" t="s">
        <v>20</v>
      </c>
      <c r="J112" s="86">
        <f>J111</f>
        <v>8</v>
      </c>
      <c r="K112" s="86" t="s">
        <v>30</v>
      </c>
      <c r="L112" s="86">
        <f t="shared" si="72"/>
        <v>8</v>
      </c>
      <c r="M112" s="86">
        <f t="shared" si="73"/>
        <v>8</v>
      </c>
      <c r="N112" s="89">
        <f t="shared" si="68"/>
        <v>0</v>
      </c>
      <c r="O112" s="641"/>
      <c r="P112" s="379">
        <f t="shared" si="49"/>
        <v>413</v>
      </c>
      <c r="Q112" s="380" t="s">
        <v>36</v>
      </c>
      <c r="R112" s="381" t="str">
        <f t="shared" si="50"/>
        <v>End Drum</v>
      </c>
      <c r="S112" s="381">
        <v>1</v>
      </c>
      <c r="T112" s="615" t="s">
        <v>39</v>
      </c>
      <c r="U112" s="381" t="str">
        <f t="shared" si="51"/>
        <v>بازو</v>
      </c>
      <c r="V112" s="505">
        <v>1</v>
      </c>
      <c r="W112" s="615" t="s">
        <v>40</v>
      </c>
      <c r="X112" s="383" t="str">
        <f t="shared" si="52"/>
        <v>413030607</v>
      </c>
      <c r="Y112" s="384" t="str">
        <f t="shared" si="53"/>
        <v>پیچ اتصال صفحه مثلثی به بازو</v>
      </c>
      <c r="Z112" s="505" t="s">
        <v>352</v>
      </c>
      <c r="AA112" s="382">
        <f t="shared" si="54"/>
        <v>8</v>
      </c>
      <c r="AB112" s="656">
        <f t="shared" si="66"/>
        <v>8</v>
      </c>
      <c r="AC112" s="945">
        <f t="shared" si="67"/>
        <v>8</v>
      </c>
      <c r="AE112" s="744" t="str">
        <f t="shared" si="55"/>
        <v>413030607</v>
      </c>
      <c r="AF112" s="745" t="str">
        <f t="shared" si="56"/>
        <v>پیچ اتصال صفحه مثلثی به بازو</v>
      </c>
      <c r="AG112" s="382" t="str">
        <f t="shared" si="57"/>
        <v>Hex Bolt</v>
      </c>
      <c r="AH112" s="382" t="str">
        <f t="shared" si="62"/>
        <v>M10x30-5.6-Electroplated-Din 933</v>
      </c>
      <c r="AI112" s="505" t="s">
        <v>434</v>
      </c>
      <c r="AJ112" s="845" t="s">
        <v>108</v>
      </c>
      <c r="AK112" s="889" t="s">
        <v>484</v>
      </c>
      <c r="AL112" s="382" t="str">
        <f t="shared" si="61"/>
        <v>Pcs</v>
      </c>
      <c r="AM112" s="1056">
        <f t="shared" si="70"/>
        <v>8</v>
      </c>
      <c r="AP112"/>
      <c r="AQ112"/>
      <c r="AR112"/>
      <c r="AS112"/>
      <c r="BD112" s="1120" t="str">
        <f t="shared" si="58"/>
        <v>03</v>
      </c>
      <c r="BE112" s="1121" t="str">
        <f t="shared" si="59"/>
        <v>07</v>
      </c>
      <c r="BF112" s="1121" t="str">
        <f t="shared" si="59"/>
        <v>413030607</v>
      </c>
      <c r="BG112" s="1122" t="str">
        <f t="shared" si="47"/>
        <v>End Drum</v>
      </c>
      <c r="BH112" s="1122">
        <f t="shared" si="47"/>
        <v>1</v>
      </c>
      <c r="BI112" s="1123">
        <f t="shared" si="48"/>
        <v>1</v>
      </c>
    </row>
    <row r="113" spans="1:61" ht="15" x14ac:dyDescent="0.25">
      <c r="A113" s="1171">
        <v>106</v>
      </c>
      <c r="B113" s="151" t="s">
        <v>178</v>
      </c>
      <c r="C113" s="86" t="s">
        <v>153</v>
      </c>
      <c r="D113" s="87" t="s">
        <v>310</v>
      </c>
      <c r="E113" s="87" t="s">
        <v>9</v>
      </c>
      <c r="F113" s="87" t="s">
        <v>17</v>
      </c>
      <c r="G113" s="86">
        <v>5</v>
      </c>
      <c r="H113" s="86" t="s">
        <v>10</v>
      </c>
      <c r="I113" s="86" t="s">
        <v>21</v>
      </c>
      <c r="J113" s="86">
        <f>J112</f>
        <v>8</v>
      </c>
      <c r="K113" s="86" t="s">
        <v>30</v>
      </c>
      <c r="L113" s="86">
        <f t="shared" si="72"/>
        <v>8</v>
      </c>
      <c r="M113" s="86">
        <f t="shared" si="73"/>
        <v>8</v>
      </c>
      <c r="N113" s="89">
        <f t="shared" si="68"/>
        <v>0</v>
      </c>
      <c r="O113" s="641"/>
      <c r="P113" s="379">
        <f t="shared" si="49"/>
        <v>413</v>
      </c>
      <c r="Q113" s="380" t="s">
        <v>36</v>
      </c>
      <c r="R113" s="381" t="str">
        <f t="shared" si="50"/>
        <v>End Drum</v>
      </c>
      <c r="S113" s="381">
        <v>1</v>
      </c>
      <c r="T113" s="615" t="s">
        <v>39</v>
      </c>
      <c r="U113" s="381" t="str">
        <f t="shared" si="51"/>
        <v>بازو</v>
      </c>
      <c r="V113" s="505">
        <v>1</v>
      </c>
      <c r="W113" s="615" t="s">
        <v>41</v>
      </c>
      <c r="X113" s="383" t="str">
        <f t="shared" si="52"/>
        <v>413030608</v>
      </c>
      <c r="Y113" s="384" t="str">
        <f t="shared" si="53"/>
        <v>مهره اتصال صفحه مثلثی به بازو</v>
      </c>
      <c r="Z113" s="505" t="s">
        <v>17</v>
      </c>
      <c r="AA113" s="382">
        <f t="shared" si="54"/>
        <v>8</v>
      </c>
      <c r="AB113" s="656">
        <f t="shared" si="66"/>
        <v>8</v>
      </c>
      <c r="AC113" s="945">
        <f t="shared" si="67"/>
        <v>8</v>
      </c>
      <c r="AE113" s="744" t="str">
        <f t="shared" si="55"/>
        <v>413030608</v>
      </c>
      <c r="AF113" s="745" t="str">
        <f t="shared" si="56"/>
        <v>مهره اتصال صفحه مثلثی به بازو</v>
      </c>
      <c r="AG113" s="382" t="str">
        <f t="shared" si="57"/>
        <v>Hex Nut</v>
      </c>
      <c r="AH113" s="382" t="str">
        <f t="shared" si="62"/>
        <v>M10-5-Electroplated-Din 934</v>
      </c>
      <c r="AI113" s="828" t="s">
        <v>435</v>
      </c>
      <c r="AJ113" s="845" t="s">
        <v>105</v>
      </c>
      <c r="AK113" s="889" t="s">
        <v>484</v>
      </c>
      <c r="AL113" s="382" t="str">
        <f t="shared" si="61"/>
        <v>Pcs</v>
      </c>
      <c r="AM113" s="1056">
        <f t="shared" si="70"/>
        <v>8</v>
      </c>
      <c r="AP113"/>
      <c r="AQ113"/>
      <c r="AR113"/>
      <c r="AS113"/>
      <c r="BD113" s="1120" t="str">
        <f t="shared" si="58"/>
        <v>03</v>
      </c>
      <c r="BE113" s="1121" t="str">
        <f t="shared" si="59"/>
        <v>08</v>
      </c>
      <c r="BF113" s="1121" t="str">
        <f t="shared" si="59"/>
        <v>413030608</v>
      </c>
      <c r="BG113" s="1122" t="str">
        <f t="shared" si="47"/>
        <v>End Drum</v>
      </c>
      <c r="BH113" s="1122">
        <f t="shared" si="47"/>
        <v>1</v>
      </c>
      <c r="BI113" s="1123">
        <f t="shared" si="48"/>
        <v>1</v>
      </c>
    </row>
    <row r="114" spans="1:61" ht="15.75" thickBot="1" x14ac:dyDescent="0.3">
      <c r="A114" s="1174">
        <v>107</v>
      </c>
      <c r="B114" s="152" t="s">
        <v>178</v>
      </c>
      <c r="C114" s="153" t="s">
        <v>153</v>
      </c>
      <c r="D114" s="154" t="s">
        <v>168</v>
      </c>
      <c r="E114" s="154" t="s">
        <v>18</v>
      </c>
      <c r="F114" s="154" t="s">
        <v>25</v>
      </c>
      <c r="G114" s="153" t="s">
        <v>24</v>
      </c>
      <c r="H114" s="153" t="s">
        <v>10</v>
      </c>
      <c r="I114" s="153" t="s">
        <v>22</v>
      </c>
      <c r="J114" s="153">
        <f>J113</f>
        <v>8</v>
      </c>
      <c r="K114" s="153" t="s">
        <v>30</v>
      </c>
      <c r="L114" s="153">
        <f t="shared" si="72"/>
        <v>8</v>
      </c>
      <c r="M114" s="153">
        <f t="shared" si="73"/>
        <v>8</v>
      </c>
      <c r="N114" s="156">
        <f t="shared" si="68"/>
        <v>0</v>
      </c>
      <c r="O114" s="641"/>
      <c r="P114" s="385">
        <f t="shared" si="49"/>
        <v>413</v>
      </c>
      <c r="Q114" s="386" t="s">
        <v>36</v>
      </c>
      <c r="R114" s="387" t="str">
        <f t="shared" si="50"/>
        <v>End Drum</v>
      </c>
      <c r="S114" s="387">
        <v>1</v>
      </c>
      <c r="T114" s="942" t="s">
        <v>39</v>
      </c>
      <c r="U114" s="387" t="str">
        <f t="shared" si="51"/>
        <v>بازو</v>
      </c>
      <c r="V114" s="943">
        <v>1</v>
      </c>
      <c r="W114" s="942" t="s">
        <v>42</v>
      </c>
      <c r="X114" s="389" t="str">
        <f t="shared" si="52"/>
        <v>413030609</v>
      </c>
      <c r="Y114" s="390" t="str">
        <f t="shared" si="53"/>
        <v>واشر فنری اتصال صفحه مثلثی به بازو</v>
      </c>
      <c r="Z114" s="943" t="s">
        <v>353</v>
      </c>
      <c r="AA114" s="388">
        <f t="shared" si="54"/>
        <v>8</v>
      </c>
      <c r="AB114" s="946">
        <f t="shared" si="66"/>
        <v>8</v>
      </c>
      <c r="AC114" s="947">
        <f t="shared" si="67"/>
        <v>8</v>
      </c>
      <c r="AE114" s="775" t="str">
        <f t="shared" si="55"/>
        <v>413030609</v>
      </c>
      <c r="AF114" s="776" t="str">
        <f t="shared" si="56"/>
        <v>واشر فنری اتصال صفحه مثلثی به بازو</v>
      </c>
      <c r="AG114" s="506" t="str">
        <f t="shared" si="57"/>
        <v>Spring Washer</v>
      </c>
      <c r="AH114" s="506" t="str">
        <f t="shared" si="62"/>
        <v>A10-F-Electroplated-Din 127</v>
      </c>
      <c r="AI114" s="689" t="s">
        <v>101</v>
      </c>
      <c r="AJ114" s="848" t="s">
        <v>106</v>
      </c>
      <c r="AK114" s="890" t="s">
        <v>484</v>
      </c>
      <c r="AL114" s="506" t="str">
        <f t="shared" si="61"/>
        <v>Pcs</v>
      </c>
      <c r="AM114" s="1057">
        <f t="shared" si="70"/>
        <v>8</v>
      </c>
      <c r="AP114"/>
      <c r="AQ114"/>
      <c r="AR114"/>
      <c r="AS114"/>
      <c r="BD114" s="1120" t="str">
        <f t="shared" si="58"/>
        <v>03</v>
      </c>
      <c r="BE114" s="1121" t="str">
        <f t="shared" si="59"/>
        <v>09</v>
      </c>
      <c r="BF114" s="1121" t="str">
        <f t="shared" si="59"/>
        <v>413030609</v>
      </c>
      <c r="BG114" s="1122" t="str">
        <f t="shared" si="47"/>
        <v>End Drum</v>
      </c>
      <c r="BH114" s="1122">
        <f t="shared" si="47"/>
        <v>1</v>
      </c>
      <c r="BI114" s="1123">
        <f t="shared" si="48"/>
        <v>1</v>
      </c>
    </row>
    <row r="115" spans="1:61" ht="15" x14ac:dyDescent="0.25">
      <c r="A115" s="1191">
        <v>108</v>
      </c>
      <c r="B115" s="144" t="s">
        <v>178</v>
      </c>
      <c r="C115" s="91" t="s">
        <v>311</v>
      </c>
      <c r="D115" s="92" t="s">
        <v>311</v>
      </c>
      <c r="E115" s="92" t="s">
        <v>3</v>
      </c>
      <c r="F115" s="92" t="s">
        <v>4</v>
      </c>
      <c r="G115" s="91">
        <f>IF(E1=1500,1.5,IF(E1=2000,1.5,2))</f>
        <v>1.5</v>
      </c>
      <c r="H115" s="91">
        <f>IF(E1=3000,1250,IF(E1=2500,1108,1000))</f>
        <v>1000</v>
      </c>
      <c r="I115" s="91">
        <f>IF(E1=1500,1300,IF(E1=2000,2000,IF(E1=2500,1470,1450)))</f>
        <v>2000</v>
      </c>
      <c r="J115" s="1196">
        <f>J83</f>
        <v>4</v>
      </c>
      <c r="K115" s="91" t="s">
        <v>29</v>
      </c>
      <c r="L115" s="91">
        <f>J115*I115*H115*G115*7.85/1000000</f>
        <v>94.2</v>
      </c>
      <c r="M115" s="91">
        <f>((((1000-(INT(1000/H115)*H115))/(INT(1000/H115)))+H115)*G115*I115*J115*7.85)/1000000</f>
        <v>94.2</v>
      </c>
      <c r="N115" s="93">
        <f t="shared" si="68"/>
        <v>0</v>
      </c>
      <c r="O115" s="641"/>
      <c r="P115" s="402">
        <f t="shared" si="49"/>
        <v>413</v>
      </c>
      <c r="Q115" s="403" t="s">
        <v>36</v>
      </c>
      <c r="R115" s="404" t="str">
        <f t="shared" si="50"/>
        <v>End Drum</v>
      </c>
      <c r="S115" s="404">
        <v>1</v>
      </c>
      <c r="T115" s="612" t="s">
        <v>40</v>
      </c>
      <c r="U115" s="404" t="str">
        <f t="shared" si="51"/>
        <v>صفحه انتهایی</v>
      </c>
      <c r="V115" s="685">
        <v>1</v>
      </c>
      <c r="W115" s="612" t="s">
        <v>34</v>
      </c>
      <c r="X115" s="406" t="str">
        <f t="shared" si="52"/>
        <v>413030701</v>
      </c>
      <c r="Y115" s="407" t="str">
        <f t="shared" si="53"/>
        <v>صفحه انتهایی</v>
      </c>
      <c r="Z115" s="691" t="str">
        <f>G115&amp;"x"&amp;H115&amp;"x"&amp;I115</f>
        <v>1.5x1000x2000</v>
      </c>
      <c r="AA115" s="405">
        <f t="shared" si="54"/>
        <v>4</v>
      </c>
      <c r="AB115" s="653">
        <f t="shared" si="66"/>
        <v>4</v>
      </c>
      <c r="AC115" s="928">
        <f t="shared" si="67"/>
        <v>4</v>
      </c>
      <c r="AE115" s="698" t="str">
        <f t="shared" si="55"/>
        <v>413030701</v>
      </c>
      <c r="AF115" s="699" t="str">
        <f t="shared" si="56"/>
        <v>صفحه انتهایی</v>
      </c>
      <c r="AG115" s="405" t="str">
        <f t="shared" si="57"/>
        <v>Plate</v>
      </c>
      <c r="AH115" s="405" t="str">
        <f>F115</f>
        <v>H.D.G</v>
      </c>
      <c r="AI115" s="685" t="s">
        <v>419</v>
      </c>
      <c r="AJ115" s="849" t="s">
        <v>467</v>
      </c>
      <c r="AK115" s="885" t="s">
        <v>484</v>
      </c>
      <c r="AL115" s="405" t="str">
        <f t="shared" si="61"/>
        <v>Kg</v>
      </c>
      <c r="AM115" s="1051">
        <f t="shared" si="70"/>
        <v>4</v>
      </c>
      <c r="AP115"/>
      <c r="AQ115"/>
      <c r="AR115"/>
      <c r="AS115"/>
      <c r="BD115" s="1120" t="str">
        <f t="shared" si="58"/>
        <v>03</v>
      </c>
      <c r="BE115" s="1121" t="str">
        <f t="shared" si="59"/>
        <v>01</v>
      </c>
      <c r="BF115" s="1121" t="str">
        <f t="shared" si="59"/>
        <v>413030701</v>
      </c>
      <c r="BG115" s="1122" t="str">
        <f t="shared" si="47"/>
        <v>End Drum</v>
      </c>
      <c r="BH115" s="1122">
        <f t="shared" si="47"/>
        <v>1</v>
      </c>
      <c r="BI115" s="1123">
        <f t="shared" si="48"/>
        <v>1</v>
      </c>
    </row>
    <row r="116" spans="1:61" ht="15" x14ac:dyDescent="0.25">
      <c r="A116" s="1190">
        <v>109</v>
      </c>
      <c r="B116" s="143" t="s">
        <v>178</v>
      </c>
      <c r="C116" s="94" t="s">
        <v>311</v>
      </c>
      <c r="D116" s="95" t="s">
        <v>312</v>
      </c>
      <c r="E116" s="95" t="s">
        <v>8</v>
      </c>
      <c r="F116" s="95" t="s">
        <v>314</v>
      </c>
      <c r="G116" s="94">
        <v>5.6</v>
      </c>
      <c r="H116" s="94" t="s">
        <v>10</v>
      </c>
      <c r="I116" s="94" t="s">
        <v>20</v>
      </c>
      <c r="J116" s="94">
        <f>(IF(E1=1500,10,IF(E1=2000,12,IF(E1=2500,14,16))))*J106</f>
        <v>48</v>
      </c>
      <c r="K116" s="94" t="s">
        <v>30</v>
      </c>
      <c r="L116" s="94">
        <f t="shared" si="72"/>
        <v>48</v>
      </c>
      <c r="M116" s="94">
        <f t="shared" si="73"/>
        <v>48</v>
      </c>
      <c r="N116" s="97">
        <f t="shared" si="68"/>
        <v>0</v>
      </c>
      <c r="O116" s="641"/>
      <c r="P116" s="408">
        <f t="shared" si="49"/>
        <v>413</v>
      </c>
      <c r="Q116" s="409" t="s">
        <v>36</v>
      </c>
      <c r="R116" s="410" t="str">
        <f t="shared" si="50"/>
        <v>End Drum</v>
      </c>
      <c r="S116" s="410">
        <v>1</v>
      </c>
      <c r="T116" s="613" t="s">
        <v>40</v>
      </c>
      <c r="U116" s="410" t="str">
        <f t="shared" si="51"/>
        <v>صفحه انتهایی</v>
      </c>
      <c r="V116" s="686">
        <v>1</v>
      </c>
      <c r="W116" s="613" t="s">
        <v>35</v>
      </c>
      <c r="X116" s="412" t="str">
        <f t="shared" si="52"/>
        <v>413030702</v>
      </c>
      <c r="Y116" s="413" t="str">
        <f t="shared" si="53"/>
        <v>پیچ اتصال صفحه انتهایی به ناودانی بازو</v>
      </c>
      <c r="Z116" s="686" t="s">
        <v>314</v>
      </c>
      <c r="AA116" s="411">
        <f t="shared" si="54"/>
        <v>48</v>
      </c>
      <c r="AB116" s="654">
        <f t="shared" si="66"/>
        <v>48</v>
      </c>
      <c r="AC116" s="929">
        <f t="shared" si="67"/>
        <v>48</v>
      </c>
      <c r="AE116" s="700" t="str">
        <f t="shared" si="55"/>
        <v>413030702</v>
      </c>
      <c r="AF116" s="701" t="str">
        <f t="shared" si="56"/>
        <v>پیچ اتصال صفحه انتهایی به ناودانی بازو</v>
      </c>
      <c r="AG116" s="411" t="str">
        <f t="shared" si="57"/>
        <v>Hex Bolt</v>
      </c>
      <c r="AH116" s="411" t="str">
        <f t="shared" si="62"/>
        <v>M6x20-5.6-Electroplated-Din 933</v>
      </c>
      <c r="AI116" s="686" t="s">
        <v>438</v>
      </c>
      <c r="AJ116" s="841" t="s">
        <v>393</v>
      </c>
      <c r="AK116" s="886" t="s">
        <v>484</v>
      </c>
      <c r="AL116" s="411" t="str">
        <f t="shared" si="61"/>
        <v>Pcs</v>
      </c>
      <c r="AM116" s="1052">
        <f t="shared" si="70"/>
        <v>48</v>
      </c>
      <c r="AP116"/>
      <c r="AQ116"/>
      <c r="AR116"/>
      <c r="AS116"/>
      <c r="BD116" s="1120" t="str">
        <f t="shared" si="58"/>
        <v>03</v>
      </c>
      <c r="BE116" s="1121" t="str">
        <f t="shared" si="59"/>
        <v>02</v>
      </c>
      <c r="BF116" s="1121" t="str">
        <f t="shared" si="59"/>
        <v>413030702</v>
      </c>
      <c r="BG116" s="1122" t="str">
        <f t="shared" si="47"/>
        <v>End Drum</v>
      </c>
      <c r="BH116" s="1122">
        <f t="shared" si="47"/>
        <v>1</v>
      </c>
      <c r="BI116" s="1123">
        <f t="shared" si="48"/>
        <v>1</v>
      </c>
    </row>
    <row r="117" spans="1:61" ht="15.75" thickBot="1" x14ac:dyDescent="0.3">
      <c r="A117" s="1197">
        <v>110</v>
      </c>
      <c r="B117" s="147" t="s">
        <v>178</v>
      </c>
      <c r="C117" s="148" t="s">
        <v>311</v>
      </c>
      <c r="D117" s="149" t="s">
        <v>313</v>
      </c>
      <c r="E117" s="149" t="s">
        <v>9</v>
      </c>
      <c r="F117" s="149" t="s">
        <v>5</v>
      </c>
      <c r="G117" s="148">
        <v>5</v>
      </c>
      <c r="H117" s="148" t="s">
        <v>10</v>
      </c>
      <c r="I117" s="148" t="s">
        <v>21</v>
      </c>
      <c r="J117" s="148">
        <f>J116</f>
        <v>48</v>
      </c>
      <c r="K117" s="148" t="s">
        <v>30</v>
      </c>
      <c r="L117" s="148">
        <f t="shared" si="72"/>
        <v>48</v>
      </c>
      <c r="M117" s="148">
        <f t="shared" si="73"/>
        <v>48</v>
      </c>
      <c r="N117" s="150">
        <f t="shared" si="68"/>
        <v>0</v>
      </c>
      <c r="O117" s="641"/>
      <c r="P117" s="414">
        <f t="shared" si="49"/>
        <v>413</v>
      </c>
      <c r="Q117" s="415" t="s">
        <v>36</v>
      </c>
      <c r="R117" s="416" t="str">
        <f t="shared" si="50"/>
        <v>End Drum</v>
      </c>
      <c r="S117" s="416">
        <v>1</v>
      </c>
      <c r="T117" s="938" t="s">
        <v>40</v>
      </c>
      <c r="U117" s="416" t="str">
        <f t="shared" si="51"/>
        <v>صفحه انتهایی</v>
      </c>
      <c r="V117" s="939">
        <v>1</v>
      </c>
      <c r="W117" s="938" t="s">
        <v>36</v>
      </c>
      <c r="X117" s="418" t="str">
        <f t="shared" si="52"/>
        <v>413030703</v>
      </c>
      <c r="Y117" s="419" t="str">
        <f t="shared" si="53"/>
        <v>مهره اتصال صفحه انتهایی به ناودانی بازو</v>
      </c>
      <c r="Z117" s="939" t="s">
        <v>5</v>
      </c>
      <c r="AA117" s="417">
        <f t="shared" si="54"/>
        <v>48</v>
      </c>
      <c r="AB117" s="940">
        <f t="shared" si="66"/>
        <v>48</v>
      </c>
      <c r="AC117" s="941">
        <f t="shared" si="67"/>
        <v>48</v>
      </c>
      <c r="AE117" s="769" t="str">
        <f t="shared" si="55"/>
        <v>413030703</v>
      </c>
      <c r="AF117" s="770" t="str">
        <f t="shared" si="56"/>
        <v>مهره اتصال صفحه انتهایی به ناودانی بازو</v>
      </c>
      <c r="AG117" s="504" t="str">
        <f t="shared" si="57"/>
        <v>Hex Nut</v>
      </c>
      <c r="AH117" s="504" t="str">
        <f t="shared" si="62"/>
        <v>M6-5-Electroplated-Din 934</v>
      </c>
      <c r="AI117" s="1138" t="s">
        <v>424</v>
      </c>
      <c r="AJ117" s="843" t="s">
        <v>104</v>
      </c>
      <c r="AK117" s="887" t="s">
        <v>484</v>
      </c>
      <c r="AL117" s="504" t="str">
        <f t="shared" si="61"/>
        <v>Pcs</v>
      </c>
      <c r="AM117" s="1053">
        <f t="shared" si="70"/>
        <v>48</v>
      </c>
      <c r="AP117"/>
      <c r="AQ117"/>
      <c r="AR117"/>
      <c r="AS117"/>
      <c r="BD117" s="1120" t="str">
        <f t="shared" si="58"/>
        <v>03</v>
      </c>
      <c r="BE117" s="1121" t="str">
        <f t="shared" si="59"/>
        <v>03</v>
      </c>
      <c r="BF117" s="1121" t="str">
        <f t="shared" si="59"/>
        <v>413030703</v>
      </c>
      <c r="BG117" s="1122" t="str">
        <f t="shared" si="47"/>
        <v>End Drum</v>
      </c>
      <c r="BH117" s="1122">
        <f t="shared" si="47"/>
        <v>1</v>
      </c>
      <c r="BI117" s="1123">
        <f t="shared" si="48"/>
        <v>1</v>
      </c>
    </row>
    <row r="118" spans="1:61" ht="15" x14ac:dyDescent="0.25">
      <c r="A118" s="1170">
        <v>111</v>
      </c>
      <c r="B118" s="244" t="s">
        <v>302</v>
      </c>
      <c r="C118" s="245" t="s">
        <v>155</v>
      </c>
      <c r="D118" s="246" t="s">
        <v>303</v>
      </c>
      <c r="E118" s="246" t="s">
        <v>8</v>
      </c>
      <c r="F118" s="246" t="s">
        <v>23</v>
      </c>
      <c r="G118" s="245">
        <v>5.6</v>
      </c>
      <c r="H118" s="245" t="s">
        <v>10</v>
      </c>
      <c r="I118" s="245" t="s">
        <v>20</v>
      </c>
      <c r="J118" s="245">
        <f>IF(AND(E2=3400,E1=1500),18,IF(AND(E2=5100,E1=1500),36,IF(AND(E2=3400,E1=2000),24,IF(AND(E2=5100,E1=2000),48,IF(AND(E2=3400,E1=2500),30,IF(AND(E2=5100,E1=2500),60,IF(AND(E2=3400,E1=3000),36,72)))))))</f>
        <v>48</v>
      </c>
      <c r="K118" s="245" t="s">
        <v>30</v>
      </c>
      <c r="L118" s="245">
        <f t="shared" ref="L118:L119" si="74">J118</f>
        <v>48</v>
      </c>
      <c r="M118" s="245">
        <f t="shared" ref="M118:M119" si="75">J118</f>
        <v>48</v>
      </c>
      <c r="N118" s="247">
        <f t="shared" ref="N118:N120" si="76">(M118-L118)/L118</f>
        <v>0</v>
      </c>
      <c r="O118" s="641"/>
      <c r="P118" s="958">
        <f t="shared" si="49"/>
        <v>413</v>
      </c>
      <c r="Q118" s="959" t="s">
        <v>47</v>
      </c>
      <c r="R118" s="960" t="str">
        <f t="shared" si="50"/>
        <v>Drum</v>
      </c>
      <c r="S118" s="960">
        <v>1</v>
      </c>
      <c r="T118" s="961" t="s">
        <v>34</v>
      </c>
      <c r="U118" s="960" t="str">
        <f t="shared" si="51"/>
        <v>بدنه</v>
      </c>
      <c r="V118" s="962">
        <v>1</v>
      </c>
      <c r="W118" s="961" t="s">
        <v>34</v>
      </c>
      <c r="X118" s="963" t="str">
        <f t="shared" si="52"/>
        <v>413000101</v>
      </c>
      <c r="Y118" s="964" t="str">
        <f t="shared" si="53"/>
        <v>پیچ اتصال تکه ها</v>
      </c>
      <c r="Z118" s="962" t="s">
        <v>23</v>
      </c>
      <c r="AA118" s="965">
        <f t="shared" si="54"/>
        <v>48</v>
      </c>
      <c r="AB118" s="966">
        <f t="shared" si="66"/>
        <v>48</v>
      </c>
      <c r="AC118" s="967">
        <f t="shared" si="67"/>
        <v>48</v>
      </c>
      <c r="AE118" s="779" t="str">
        <f t="shared" si="55"/>
        <v>413000101</v>
      </c>
      <c r="AF118" s="780" t="str">
        <f t="shared" si="56"/>
        <v>پیچ اتصال تکه ها</v>
      </c>
      <c r="AG118" s="514" t="str">
        <f t="shared" si="57"/>
        <v>Hex Bolt</v>
      </c>
      <c r="AH118" s="514" t="str">
        <f t="shared" si="62"/>
        <v>M10x30-5.6-Electroplated-Din 933</v>
      </c>
      <c r="AI118" s="692" t="s">
        <v>434</v>
      </c>
      <c r="AJ118" s="850" t="s">
        <v>108</v>
      </c>
      <c r="AK118" s="892" t="s">
        <v>484</v>
      </c>
      <c r="AL118" s="514" t="str">
        <f t="shared" si="61"/>
        <v>Pcs</v>
      </c>
      <c r="AM118" s="1061">
        <f t="shared" si="70"/>
        <v>48</v>
      </c>
      <c r="AP118"/>
      <c r="AQ118"/>
      <c r="AR118"/>
      <c r="AS118"/>
      <c r="BD118" s="1120" t="str">
        <f t="shared" si="58"/>
        <v>00</v>
      </c>
      <c r="BE118" s="1121" t="str">
        <f t="shared" si="59"/>
        <v>01</v>
      </c>
      <c r="BF118" s="1121" t="str">
        <f t="shared" si="59"/>
        <v>413000101</v>
      </c>
      <c r="BG118" s="1122" t="str">
        <f t="shared" si="47"/>
        <v>Drum</v>
      </c>
      <c r="BH118" s="1122">
        <f t="shared" si="47"/>
        <v>1</v>
      </c>
      <c r="BI118" s="1123">
        <f t="shared" si="48"/>
        <v>1</v>
      </c>
    </row>
    <row r="119" spans="1:61" ht="15" x14ac:dyDescent="0.25">
      <c r="A119" s="1171">
        <v>112</v>
      </c>
      <c r="B119" s="300" t="s">
        <v>302</v>
      </c>
      <c r="C119" s="248" t="s">
        <v>155</v>
      </c>
      <c r="D119" s="249" t="s">
        <v>304</v>
      </c>
      <c r="E119" s="249" t="s">
        <v>9</v>
      </c>
      <c r="F119" s="249" t="s">
        <v>17</v>
      </c>
      <c r="G119" s="248">
        <v>5</v>
      </c>
      <c r="H119" s="248" t="s">
        <v>10</v>
      </c>
      <c r="I119" s="248" t="s">
        <v>21</v>
      </c>
      <c r="J119" s="248">
        <f>J118</f>
        <v>48</v>
      </c>
      <c r="K119" s="248" t="s">
        <v>30</v>
      </c>
      <c r="L119" s="248">
        <f t="shared" si="74"/>
        <v>48</v>
      </c>
      <c r="M119" s="248">
        <f t="shared" si="75"/>
        <v>48</v>
      </c>
      <c r="N119" s="250">
        <f t="shared" si="76"/>
        <v>0</v>
      </c>
      <c r="O119" s="641"/>
      <c r="P119" s="515">
        <f t="shared" si="49"/>
        <v>413</v>
      </c>
      <c r="Q119" s="516" t="s">
        <v>47</v>
      </c>
      <c r="R119" s="517" t="str">
        <f t="shared" si="50"/>
        <v>Drum</v>
      </c>
      <c r="S119" s="517">
        <v>1</v>
      </c>
      <c r="T119" s="616" t="s">
        <v>34</v>
      </c>
      <c r="U119" s="517" t="str">
        <f t="shared" si="51"/>
        <v>بدنه</v>
      </c>
      <c r="V119" s="693">
        <v>1</v>
      </c>
      <c r="W119" s="616" t="s">
        <v>35</v>
      </c>
      <c r="X119" s="518" t="str">
        <f t="shared" si="52"/>
        <v>413000102</v>
      </c>
      <c r="Y119" s="519" t="str">
        <f t="shared" si="53"/>
        <v>مهره اتصال تکه ها</v>
      </c>
      <c r="Z119" s="693" t="s">
        <v>355</v>
      </c>
      <c r="AA119" s="520">
        <f t="shared" si="54"/>
        <v>48</v>
      </c>
      <c r="AB119" s="657">
        <f t="shared" si="66"/>
        <v>48</v>
      </c>
      <c r="AC119" s="968">
        <f t="shared" si="67"/>
        <v>48</v>
      </c>
      <c r="AE119" s="781" t="str">
        <f t="shared" si="55"/>
        <v>413000102</v>
      </c>
      <c r="AF119" s="782" t="str">
        <f t="shared" si="56"/>
        <v>مهره اتصال تکه ها</v>
      </c>
      <c r="AG119" s="520" t="str">
        <f t="shared" si="57"/>
        <v>Hex Nut</v>
      </c>
      <c r="AH119" s="520" t="str">
        <f t="shared" si="62"/>
        <v>M10-5-Electroplated-Din 934</v>
      </c>
      <c r="AI119" s="693" t="s">
        <v>435</v>
      </c>
      <c r="AJ119" s="851" t="s">
        <v>105</v>
      </c>
      <c r="AK119" s="893" t="s">
        <v>484</v>
      </c>
      <c r="AL119" s="520" t="str">
        <f t="shared" si="61"/>
        <v>Pcs</v>
      </c>
      <c r="AM119" s="1062">
        <f t="shared" si="70"/>
        <v>48</v>
      </c>
      <c r="AP119"/>
      <c r="AQ119"/>
      <c r="AR119"/>
      <c r="AS119"/>
      <c r="BD119" s="1120" t="str">
        <f t="shared" si="58"/>
        <v>00</v>
      </c>
      <c r="BE119" s="1121" t="str">
        <f t="shared" si="59"/>
        <v>02</v>
      </c>
      <c r="BF119" s="1121" t="str">
        <f t="shared" si="59"/>
        <v>413000102</v>
      </c>
      <c r="BG119" s="1122" t="str">
        <f t="shared" si="47"/>
        <v>Drum</v>
      </c>
      <c r="BH119" s="1122">
        <f t="shared" si="47"/>
        <v>1</v>
      </c>
      <c r="BI119" s="1123">
        <f t="shared" si="48"/>
        <v>1</v>
      </c>
    </row>
    <row r="120" spans="1:61" ht="15.75" thickBot="1" x14ac:dyDescent="0.3">
      <c r="A120" s="1174">
        <v>113</v>
      </c>
      <c r="B120" s="301" t="s">
        <v>302</v>
      </c>
      <c r="C120" s="302" t="s">
        <v>155</v>
      </c>
      <c r="D120" s="303" t="s">
        <v>305</v>
      </c>
      <c r="E120" s="303" t="s">
        <v>18</v>
      </c>
      <c r="F120" s="303" t="s">
        <v>25</v>
      </c>
      <c r="G120" s="302" t="s">
        <v>24</v>
      </c>
      <c r="H120" s="302" t="s">
        <v>10</v>
      </c>
      <c r="I120" s="302" t="s">
        <v>22</v>
      </c>
      <c r="J120" s="302">
        <f>J119</f>
        <v>48</v>
      </c>
      <c r="K120" s="302" t="s">
        <v>30</v>
      </c>
      <c r="L120" s="302">
        <f>J120</f>
        <v>48</v>
      </c>
      <c r="M120" s="302">
        <f>J120</f>
        <v>48</v>
      </c>
      <c r="N120" s="304">
        <f t="shared" si="76"/>
        <v>0</v>
      </c>
      <c r="O120" s="641"/>
      <c r="P120" s="521">
        <f t="shared" si="49"/>
        <v>413</v>
      </c>
      <c r="Q120" s="522" t="s">
        <v>47</v>
      </c>
      <c r="R120" s="523" t="str">
        <f t="shared" si="50"/>
        <v>Drum</v>
      </c>
      <c r="S120" s="523">
        <v>1</v>
      </c>
      <c r="T120" s="617" t="s">
        <v>34</v>
      </c>
      <c r="U120" s="523" t="str">
        <f t="shared" si="51"/>
        <v>بدنه</v>
      </c>
      <c r="V120" s="694">
        <v>1</v>
      </c>
      <c r="W120" s="617" t="s">
        <v>36</v>
      </c>
      <c r="X120" s="524" t="str">
        <f t="shared" si="52"/>
        <v>413000103</v>
      </c>
      <c r="Y120" s="525" t="str">
        <f t="shared" si="53"/>
        <v>واشر فنری اتصال تکه ها</v>
      </c>
      <c r="Z120" s="694" t="s">
        <v>353</v>
      </c>
      <c r="AA120" s="526">
        <f t="shared" si="54"/>
        <v>48</v>
      </c>
      <c r="AB120" s="658">
        <f t="shared" si="66"/>
        <v>48</v>
      </c>
      <c r="AC120" s="969">
        <f t="shared" si="67"/>
        <v>48</v>
      </c>
      <c r="AE120" s="783" t="str">
        <f t="shared" si="55"/>
        <v>413000103</v>
      </c>
      <c r="AF120" s="784" t="str">
        <f t="shared" si="56"/>
        <v>واشر فنری اتصال تکه ها</v>
      </c>
      <c r="AG120" s="526" t="str">
        <f t="shared" si="57"/>
        <v>Spring Washer</v>
      </c>
      <c r="AH120" s="526" t="str">
        <f t="shared" si="62"/>
        <v>A10-F-Electroplated-Din 127</v>
      </c>
      <c r="AI120" s="694" t="s">
        <v>101</v>
      </c>
      <c r="AJ120" s="852" t="s">
        <v>106</v>
      </c>
      <c r="AK120" s="894" t="s">
        <v>484</v>
      </c>
      <c r="AL120" s="526" t="str">
        <f t="shared" si="61"/>
        <v>Pcs</v>
      </c>
      <c r="AM120" s="1063">
        <f t="shared" si="70"/>
        <v>48</v>
      </c>
      <c r="AP120"/>
      <c r="AQ120"/>
      <c r="AR120"/>
      <c r="AS120"/>
      <c r="BD120" s="1120" t="str">
        <f t="shared" si="58"/>
        <v>00</v>
      </c>
      <c r="BE120" s="1121" t="str">
        <f t="shared" si="59"/>
        <v>03</v>
      </c>
      <c r="BF120" s="1121" t="str">
        <f t="shared" si="59"/>
        <v>413000103</v>
      </c>
      <c r="BG120" s="1122" t="str">
        <f t="shared" si="47"/>
        <v>Drum</v>
      </c>
      <c r="BH120" s="1122">
        <f t="shared" si="47"/>
        <v>1</v>
      </c>
      <c r="BI120" s="1123">
        <f t="shared" si="48"/>
        <v>1</v>
      </c>
    </row>
    <row r="121" spans="1:61" ht="15" x14ac:dyDescent="0.25">
      <c r="A121" s="1170">
        <v>114</v>
      </c>
      <c r="B121" s="161" t="s">
        <v>179</v>
      </c>
      <c r="C121" s="161" t="s">
        <v>179</v>
      </c>
      <c r="D121" s="162" t="s">
        <v>180</v>
      </c>
      <c r="E121" s="162" t="s">
        <v>3</v>
      </c>
      <c r="F121" s="162" t="s">
        <v>80</v>
      </c>
      <c r="G121" s="161">
        <v>20</v>
      </c>
      <c r="H121" s="161">
        <v>140</v>
      </c>
      <c r="I121" s="161">
        <v>250</v>
      </c>
      <c r="J121" s="161">
        <v>1</v>
      </c>
      <c r="K121" s="161" t="s">
        <v>29</v>
      </c>
      <c r="L121" s="305">
        <f>G121*H121*I121*J121*7.85/1000000</f>
        <v>5.4950000000000001</v>
      </c>
      <c r="M121" s="161">
        <f>((((1500-(INT(1500/H121)*H121))/(INT(1500/H121)))+H121)*G121*I121*J121*7.85)/1000000</f>
        <v>5.8875000000000002</v>
      </c>
      <c r="N121" s="306">
        <f>(M121-L121)/L121</f>
        <v>7.1428571428571438E-2</v>
      </c>
      <c r="O121" s="642"/>
      <c r="P121" s="545">
        <f t="shared" si="49"/>
        <v>413</v>
      </c>
      <c r="Q121" s="546" t="s">
        <v>37</v>
      </c>
      <c r="R121" s="547" t="str">
        <f t="shared" si="50"/>
        <v>پایه ثابت</v>
      </c>
      <c r="S121" s="547">
        <v>1</v>
      </c>
      <c r="T121" s="618" t="s">
        <v>34</v>
      </c>
      <c r="U121" s="547" t="str">
        <f t="shared" si="51"/>
        <v>پایه ثابت</v>
      </c>
      <c r="V121" s="161">
        <v>1</v>
      </c>
      <c r="W121" s="618" t="s">
        <v>34</v>
      </c>
      <c r="X121" s="548" t="str">
        <f t="shared" si="52"/>
        <v>413040101</v>
      </c>
      <c r="Y121" s="549" t="str">
        <f t="shared" si="53"/>
        <v>صفحه زیر یاتاقان</v>
      </c>
      <c r="Z121" s="161" t="s">
        <v>358</v>
      </c>
      <c r="AA121" s="550">
        <f t="shared" si="54"/>
        <v>1</v>
      </c>
      <c r="AB121" s="659">
        <f t="shared" si="66"/>
        <v>1</v>
      </c>
      <c r="AC121" s="978">
        <f t="shared" si="67"/>
        <v>1</v>
      </c>
      <c r="AE121" s="785" t="str">
        <f t="shared" si="55"/>
        <v>413040101</v>
      </c>
      <c r="AF121" s="786" t="str">
        <f t="shared" si="56"/>
        <v>صفحه زیر یاتاقان</v>
      </c>
      <c r="AG121" s="550" t="str">
        <f t="shared" si="57"/>
        <v>Plate</v>
      </c>
      <c r="AH121" s="550" t="str">
        <f>F121</f>
        <v>St-37</v>
      </c>
      <c r="AI121" s="161" t="s">
        <v>439</v>
      </c>
      <c r="AJ121" s="853" t="s">
        <v>483</v>
      </c>
      <c r="AK121" s="895">
        <f>M121/J121</f>
        <v>5.8875000000000002</v>
      </c>
      <c r="AL121" s="550" t="str">
        <f t="shared" si="61"/>
        <v>Kg</v>
      </c>
      <c r="AM121" s="1074">
        <f t="shared" si="70"/>
        <v>5.8875000000000002</v>
      </c>
      <c r="AP121"/>
      <c r="AQ121"/>
      <c r="AR121"/>
      <c r="AS121"/>
      <c r="BD121" s="1120" t="str">
        <f t="shared" si="58"/>
        <v>04</v>
      </c>
      <c r="BE121" s="1121" t="str">
        <f t="shared" si="59"/>
        <v>01</v>
      </c>
      <c r="BF121" s="1121" t="str">
        <f t="shared" si="59"/>
        <v>413040101</v>
      </c>
      <c r="BG121" s="1122" t="str">
        <f t="shared" si="47"/>
        <v>پایه ثابت</v>
      </c>
      <c r="BH121" s="1122">
        <f t="shared" si="47"/>
        <v>1</v>
      </c>
      <c r="BI121" s="1123">
        <f t="shared" si="48"/>
        <v>1</v>
      </c>
    </row>
    <row r="122" spans="1:61" ht="15" x14ac:dyDescent="0.25">
      <c r="A122" s="1198">
        <v>115</v>
      </c>
      <c r="B122" s="159" t="s">
        <v>179</v>
      </c>
      <c r="C122" s="159" t="s">
        <v>179</v>
      </c>
      <c r="D122" s="160" t="s">
        <v>181</v>
      </c>
      <c r="E122" s="160" t="s">
        <v>3</v>
      </c>
      <c r="F122" s="160" t="s">
        <v>80</v>
      </c>
      <c r="G122" s="159">
        <v>10</v>
      </c>
      <c r="H122" s="159">
        <v>440</v>
      </c>
      <c r="I122" s="159">
        <v>440</v>
      </c>
      <c r="J122" s="159">
        <v>1</v>
      </c>
      <c r="K122" s="159" t="s">
        <v>29</v>
      </c>
      <c r="L122" s="171">
        <f>G122*H122*I122*J122*7.85/1000000</f>
        <v>15.1976</v>
      </c>
      <c r="M122" s="159">
        <f t="shared" ref="M122:M124" si="77">((((1500-(INT(1500/H122)*H122))/(INT(1500/H122)))+H122)*G122*I122*J122*7.85)/1000000</f>
        <v>17.27</v>
      </c>
      <c r="N122" s="163">
        <f t="shared" ref="N122:N168" si="78">(M122-L122)/L122</f>
        <v>0.13636363636363638</v>
      </c>
      <c r="O122" s="642"/>
      <c r="P122" s="551">
        <f t="shared" si="49"/>
        <v>413</v>
      </c>
      <c r="Q122" s="552" t="s">
        <v>37</v>
      </c>
      <c r="R122" s="553" t="str">
        <f t="shared" si="50"/>
        <v>پایه ثابت</v>
      </c>
      <c r="S122" s="553">
        <v>1</v>
      </c>
      <c r="T122" s="619" t="s">
        <v>34</v>
      </c>
      <c r="U122" s="553" t="str">
        <f t="shared" si="51"/>
        <v>پایه ثابت</v>
      </c>
      <c r="V122" s="159">
        <v>1</v>
      </c>
      <c r="W122" s="619" t="s">
        <v>35</v>
      </c>
      <c r="X122" s="554" t="str">
        <f t="shared" si="52"/>
        <v>413040102</v>
      </c>
      <c r="Y122" s="555" t="str">
        <f t="shared" si="53"/>
        <v>صفحه زیر پایه</v>
      </c>
      <c r="Z122" s="159" t="s">
        <v>359</v>
      </c>
      <c r="AA122" s="556">
        <f t="shared" si="54"/>
        <v>1</v>
      </c>
      <c r="AB122" s="660">
        <f t="shared" si="66"/>
        <v>1</v>
      </c>
      <c r="AC122" s="979">
        <f t="shared" si="67"/>
        <v>1</v>
      </c>
      <c r="AE122" s="787" t="str">
        <f t="shared" si="55"/>
        <v>413040102</v>
      </c>
      <c r="AF122" s="788" t="str">
        <f t="shared" si="56"/>
        <v>صفحه زیر پایه</v>
      </c>
      <c r="AG122" s="556" t="str">
        <f t="shared" si="57"/>
        <v>Plate</v>
      </c>
      <c r="AH122" s="556" t="str">
        <f>F122</f>
        <v>St-37</v>
      </c>
      <c r="AI122" s="159" t="s">
        <v>427</v>
      </c>
      <c r="AJ122" s="854" t="s">
        <v>471</v>
      </c>
      <c r="AK122" s="1064">
        <f t="shared" ref="AK122:AK124" si="79">M122/J122</f>
        <v>17.27</v>
      </c>
      <c r="AL122" s="556" t="str">
        <f t="shared" si="61"/>
        <v>Kg</v>
      </c>
      <c r="AM122" s="1075">
        <f t="shared" si="70"/>
        <v>17.27</v>
      </c>
      <c r="AP122"/>
      <c r="AQ122"/>
      <c r="AR122"/>
      <c r="AS122"/>
      <c r="BD122" s="1120" t="str">
        <f t="shared" si="58"/>
        <v>04</v>
      </c>
      <c r="BE122" s="1121" t="str">
        <f t="shared" si="59"/>
        <v>02</v>
      </c>
      <c r="BF122" s="1121" t="str">
        <f t="shared" si="59"/>
        <v>413040102</v>
      </c>
      <c r="BG122" s="1122" t="str">
        <f t="shared" si="47"/>
        <v>پایه ثابت</v>
      </c>
      <c r="BH122" s="1122">
        <f t="shared" si="47"/>
        <v>1</v>
      </c>
      <c r="BI122" s="1123">
        <f t="shared" si="48"/>
        <v>1</v>
      </c>
    </row>
    <row r="123" spans="1:61" ht="15" x14ac:dyDescent="0.25">
      <c r="A123" s="1171">
        <v>116</v>
      </c>
      <c r="B123" s="159" t="s">
        <v>179</v>
      </c>
      <c r="C123" s="159" t="s">
        <v>179</v>
      </c>
      <c r="D123" s="160" t="s">
        <v>182</v>
      </c>
      <c r="E123" s="160" t="s">
        <v>3</v>
      </c>
      <c r="F123" s="160" t="s">
        <v>80</v>
      </c>
      <c r="G123" s="159">
        <v>4</v>
      </c>
      <c r="H123" s="159">
        <v>240</v>
      </c>
      <c r="I123" s="159">
        <f>IF(E1=1500,1060,IF(E1=2000,1192,IF(E1=2500,1420,1648)))</f>
        <v>1192</v>
      </c>
      <c r="J123" s="159">
        <v>2</v>
      </c>
      <c r="K123" s="159" t="s">
        <v>29</v>
      </c>
      <c r="L123" s="171">
        <f t="shared" ref="L123:L124" si="80">G123*H123*I123*J123*7.85/1000000</f>
        <v>17.965824000000001</v>
      </c>
      <c r="M123" s="159">
        <f>((((1250-(INT(1250/H123)*H123))/(INT(1250/H123)))+H123)*G123*I123*J123*7.85)/1000000</f>
        <v>18.714400000000001</v>
      </c>
      <c r="N123" s="163">
        <f t="shared" si="78"/>
        <v>4.1666666666666657E-2</v>
      </c>
      <c r="O123" s="642"/>
      <c r="P123" s="551">
        <f t="shared" si="49"/>
        <v>413</v>
      </c>
      <c r="Q123" s="552" t="s">
        <v>37</v>
      </c>
      <c r="R123" s="553" t="str">
        <f t="shared" si="50"/>
        <v>پایه ثابت</v>
      </c>
      <c r="S123" s="553">
        <v>1</v>
      </c>
      <c r="T123" s="619" t="s">
        <v>34</v>
      </c>
      <c r="U123" s="553" t="str">
        <f t="shared" si="51"/>
        <v>پایه ثابت</v>
      </c>
      <c r="V123" s="159">
        <v>1</v>
      </c>
      <c r="W123" s="619" t="s">
        <v>36</v>
      </c>
      <c r="X123" s="554" t="str">
        <f t="shared" si="52"/>
        <v>413040103</v>
      </c>
      <c r="Y123" s="555" t="str">
        <f t="shared" si="53"/>
        <v>ناودانی پایه</v>
      </c>
      <c r="Z123" s="159" t="str">
        <f>G123&amp;"x"&amp;H123&amp;"x"&amp;I123</f>
        <v>4x240x1192</v>
      </c>
      <c r="AA123" s="556">
        <f t="shared" si="54"/>
        <v>2</v>
      </c>
      <c r="AB123" s="660">
        <f t="shared" si="66"/>
        <v>2</v>
      </c>
      <c r="AC123" s="979">
        <f t="shared" si="67"/>
        <v>2</v>
      </c>
      <c r="AE123" s="787" t="str">
        <f t="shared" si="55"/>
        <v>413040103</v>
      </c>
      <c r="AF123" s="788" t="str">
        <f t="shared" si="56"/>
        <v>ناودانی پایه</v>
      </c>
      <c r="AG123" s="556" t="str">
        <f t="shared" si="57"/>
        <v>Plate</v>
      </c>
      <c r="AH123" s="556" t="str">
        <f>F123</f>
        <v>St-37</v>
      </c>
      <c r="AI123" s="159" t="s">
        <v>413</v>
      </c>
      <c r="AJ123" s="855" t="s">
        <v>464</v>
      </c>
      <c r="AK123" s="1064">
        <f t="shared" si="79"/>
        <v>9.3572000000000006</v>
      </c>
      <c r="AL123" s="556" t="str">
        <f t="shared" si="61"/>
        <v>Kg</v>
      </c>
      <c r="AM123" s="1075">
        <f t="shared" si="70"/>
        <v>18.714400000000001</v>
      </c>
      <c r="AP123"/>
      <c r="AQ123"/>
      <c r="AR123"/>
      <c r="AS123"/>
      <c r="BD123" s="1120" t="str">
        <f t="shared" si="58"/>
        <v>04</v>
      </c>
      <c r="BE123" s="1121" t="str">
        <f t="shared" si="59"/>
        <v>03</v>
      </c>
      <c r="BF123" s="1121" t="str">
        <f t="shared" si="59"/>
        <v>413040103</v>
      </c>
      <c r="BG123" s="1122" t="str">
        <f t="shared" si="47"/>
        <v>پایه ثابت</v>
      </c>
      <c r="BH123" s="1122">
        <f t="shared" si="47"/>
        <v>1</v>
      </c>
      <c r="BI123" s="1123">
        <f t="shared" si="48"/>
        <v>1</v>
      </c>
    </row>
    <row r="124" spans="1:61" ht="15.75" thickBot="1" x14ac:dyDescent="0.3">
      <c r="A124" s="1199">
        <v>117</v>
      </c>
      <c r="B124" s="164" t="s">
        <v>179</v>
      </c>
      <c r="C124" s="164" t="s">
        <v>179</v>
      </c>
      <c r="D124" s="165" t="s">
        <v>183</v>
      </c>
      <c r="E124" s="165" t="s">
        <v>3</v>
      </c>
      <c r="F124" s="165" t="s">
        <v>80</v>
      </c>
      <c r="G124" s="164">
        <v>8</v>
      </c>
      <c r="H124" s="164">
        <v>155</v>
      </c>
      <c r="I124" s="164">
        <v>155</v>
      </c>
      <c r="J124" s="164">
        <v>4</v>
      </c>
      <c r="K124" s="164" t="s">
        <v>29</v>
      </c>
      <c r="L124" s="172">
        <f t="shared" si="80"/>
        <v>6.0350799999999998</v>
      </c>
      <c r="M124" s="164">
        <f t="shared" si="77"/>
        <v>6.4893333333333327</v>
      </c>
      <c r="N124" s="166">
        <f t="shared" si="78"/>
        <v>7.5268817204301008E-2</v>
      </c>
      <c r="O124" s="642"/>
      <c r="P124" s="557">
        <f t="shared" si="49"/>
        <v>413</v>
      </c>
      <c r="Q124" s="558" t="s">
        <v>37</v>
      </c>
      <c r="R124" s="559" t="str">
        <f t="shared" si="50"/>
        <v>پایه ثابت</v>
      </c>
      <c r="S124" s="559">
        <v>1</v>
      </c>
      <c r="T124" s="970" t="s">
        <v>34</v>
      </c>
      <c r="U124" s="559" t="str">
        <f t="shared" si="51"/>
        <v>پایه ثابت</v>
      </c>
      <c r="V124" s="971">
        <v>1</v>
      </c>
      <c r="W124" s="970" t="s">
        <v>37</v>
      </c>
      <c r="X124" s="560" t="str">
        <f t="shared" si="52"/>
        <v>413040104</v>
      </c>
      <c r="Y124" s="561" t="str">
        <f t="shared" si="53"/>
        <v>تقویتی پایه</v>
      </c>
      <c r="Z124" s="971" t="s">
        <v>360</v>
      </c>
      <c r="AA124" s="562">
        <f t="shared" si="54"/>
        <v>4</v>
      </c>
      <c r="AB124" s="980">
        <f t="shared" si="66"/>
        <v>4</v>
      </c>
      <c r="AC124" s="981">
        <f t="shared" si="67"/>
        <v>4</v>
      </c>
      <c r="AE124" s="789" t="str">
        <f t="shared" si="55"/>
        <v>413040104</v>
      </c>
      <c r="AF124" s="790" t="str">
        <f t="shared" si="56"/>
        <v>تقویتی پایه</v>
      </c>
      <c r="AG124" s="563" t="str">
        <f t="shared" si="57"/>
        <v>Plate</v>
      </c>
      <c r="AH124" s="563" t="str">
        <f>F124</f>
        <v>St-37</v>
      </c>
      <c r="AI124" s="164" t="s">
        <v>432</v>
      </c>
      <c r="AJ124" s="856" t="s">
        <v>472</v>
      </c>
      <c r="AK124" s="899">
        <f t="shared" si="79"/>
        <v>1.6223333333333332</v>
      </c>
      <c r="AL124" s="563" t="str">
        <f t="shared" si="61"/>
        <v>Kg</v>
      </c>
      <c r="AM124" s="1076">
        <f t="shared" si="70"/>
        <v>6.4893333333333327</v>
      </c>
      <c r="AP124"/>
      <c r="AQ124"/>
      <c r="AR124"/>
      <c r="AS124"/>
      <c r="BD124" s="1120" t="str">
        <f t="shared" si="58"/>
        <v>04</v>
      </c>
      <c r="BE124" s="1121" t="str">
        <f t="shared" si="59"/>
        <v>04</v>
      </c>
      <c r="BF124" s="1121" t="str">
        <f t="shared" si="59"/>
        <v>413040104</v>
      </c>
      <c r="BG124" s="1122" t="str">
        <f t="shared" si="47"/>
        <v>پایه ثابت</v>
      </c>
      <c r="BH124" s="1122">
        <f t="shared" si="47"/>
        <v>1</v>
      </c>
      <c r="BI124" s="1123">
        <f t="shared" si="48"/>
        <v>1</v>
      </c>
    </row>
    <row r="125" spans="1:61" ht="15" x14ac:dyDescent="0.25">
      <c r="A125" s="1170">
        <v>118</v>
      </c>
      <c r="B125" s="167" t="s">
        <v>179</v>
      </c>
      <c r="C125" s="167" t="s">
        <v>184</v>
      </c>
      <c r="D125" s="168" t="s">
        <v>184</v>
      </c>
      <c r="E125" s="168" t="s">
        <v>194</v>
      </c>
      <c r="F125" s="167" t="s">
        <v>2</v>
      </c>
      <c r="G125" s="167" t="s">
        <v>195</v>
      </c>
      <c r="H125" s="167">
        <v>212</v>
      </c>
      <c r="I125" s="167" t="s">
        <v>2</v>
      </c>
      <c r="J125" s="167">
        <v>1</v>
      </c>
      <c r="K125" s="167" t="s">
        <v>30</v>
      </c>
      <c r="L125" s="167">
        <f>J125</f>
        <v>1</v>
      </c>
      <c r="M125" s="167">
        <f>L125</f>
        <v>1</v>
      </c>
      <c r="N125" s="169">
        <f t="shared" si="78"/>
        <v>0</v>
      </c>
      <c r="O125" s="643"/>
      <c r="P125" s="527">
        <f t="shared" si="49"/>
        <v>413</v>
      </c>
      <c r="Q125" s="528" t="s">
        <v>37</v>
      </c>
      <c r="R125" s="529" t="str">
        <f t="shared" si="50"/>
        <v>پایه ثابت</v>
      </c>
      <c r="S125" s="529">
        <v>1</v>
      </c>
      <c r="T125" s="620" t="s">
        <v>35</v>
      </c>
      <c r="U125" s="529" t="str">
        <f t="shared" si="51"/>
        <v>یاتاقان</v>
      </c>
      <c r="V125" s="167">
        <v>1</v>
      </c>
      <c r="W125" s="620" t="s">
        <v>34</v>
      </c>
      <c r="X125" s="530" t="str">
        <f t="shared" si="52"/>
        <v>413040201</v>
      </c>
      <c r="Y125" s="531" t="str">
        <f t="shared" si="53"/>
        <v>یاتاقان</v>
      </c>
      <c r="Z125" s="167" t="s">
        <v>361</v>
      </c>
      <c r="AA125" s="532">
        <f t="shared" si="54"/>
        <v>1</v>
      </c>
      <c r="AB125" s="661">
        <f t="shared" si="66"/>
        <v>1</v>
      </c>
      <c r="AC125" s="972">
        <f t="shared" si="67"/>
        <v>1</v>
      </c>
      <c r="AE125" s="791" t="str">
        <f t="shared" si="55"/>
        <v>413040201</v>
      </c>
      <c r="AF125" s="792" t="str">
        <f t="shared" si="56"/>
        <v>یاتاقان</v>
      </c>
      <c r="AG125" s="532" t="str">
        <f t="shared" si="57"/>
        <v>UCP 212</v>
      </c>
      <c r="AH125" s="532" t="str">
        <f>G125&amp;"-"&amp;H125</f>
        <v>UCP-212</v>
      </c>
      <c r="AI125" s="167" t="s">
        <v>440</v>
      </c>
      <c r="AJ125" s="857" t="s">
        <v>394</v>
      </c>
      <c r="AK125" s="896" t="s">
        <v>484</v>
      </c>
      <c r="AL125" s="532" t="str">
        <f t="shared" si="61"/>
        <v>Pcs</v>
      </c>
      <c r="AM125" s="1072">
        <f t="shared" si="70"/>
        <v>1</v>
      </c>
      <c r="AP125"/>
      <c r="AQ125"/>
      <c r="AR125"/>
      <c r="AS125"/>
      <c r="BD125" s="1120" t="str">
        <f t="shared" si="58"/>
        <v>04</v>
      </c>
      <c r="BE125" s="1121" t="str">
        <f t="shared" si="59"/>
        <v>01</v>
      </c>
      <c r="BF125" s="1121" t="str">
        <f t="shared" si="59"/>
        <v>413040201</v>
      </c>
      <c r="BG125" s="1122" t="str">
        <f t="shared" si="47"/>
        <v>پایه ثابت</v>
      </c>
      <c r="BH125" s="1122">
        <f t="shared" si="47"/>
        <v>1</v>
      </c>
      <c r="BI125" s="1123">
        <f t="shared" si="48"/>
        <v>1</v>
      </c>
    </row>
    <row r="126" spans="1:61" ht="15" x14ac:dyDescent="0.25">
      <c r="A126" s="1171">
        <v>119</v>
      </c>
      <c r="B126" s="157" t="s">
        <v>179</v>
      </c>
      <c r="C126" s="157" t="s">
        <v>184</v>
      </c>
      <c r="D126" s="158" t="s">
        <v>185</v>
      </c>
      <c r="E126" s="158" t="s">
        <v>8</v>
      </c>
      <c r="F126" s="158" t="s">
        <v>192</v>
      </c>
      <c r="G126" s="157">
        <v>5.6</v>
      </c>
      <c r="H126" s="157" t="s">
        <v>10</v>
      </c>
      <c r="I126" s="157" t="s">
        <v>20</v>
      </c>
      <c r="J126" s="157">
        <v>2</v>
      </c>
      <c r="K126" s="157" t="s">
        <v>30</v>
      </c>
      <c r="L126" s="157">
        <f>J126</f>
        <v>2</v>
      </c>
      <c r="M126" s="157">
        <f>L126</f>
        <v>2</v>
      </c>
      <c r="N126" s="170">
        <f t="shared" si="78"/>
        <v>0</v>
      </c>
      <c r="O126" s="643"/>
      <c r="P126" s="533">
        <f t="shared" si="49"/>
        <v>413</v>
      </c>
      <c r="Q126" s="534" t="s">
        <v>37</v>
      </c>
      <c r="R126" s="535" t="str">
        <f t="shared" si="50"/>
        <v>پایه ثابت</v>
      </c>
      <c r="S126" s="535">
        <v>1</v>
      </c>
      <c r="T126" s="621" t="s">
        <v>35</v>
      </c>
      <c r="U126" s="535" t="str">
        <f t="shared" si="51"/>
        <v>یاتاقان</v>
      </c>
      <c r="V126" s="157">
        <v>1</v>
      </c>
      <c r="W126" s="621" t="s">
        <v>35</v>
      </c>
      <c r="X126" s="536" t="str">
        <f t="shared" si="52"/>
        <v>413040202</v>
      </c>
      <c r="Y126" s="537" t="str">
        <f t="shared" si="53"/>
        <v>پیچ  یاتاقان</v>
      </c>
      <c r="Z126" s="157" t="s">
        <v>192</v>
      </c>
      <c r="AA126" s="538">
        <f t="shared" si="54"/>
        <v>2</v>
      </c>
      <c r="AB126" s="662">
        <f t="shared" si="66"/>
        <v>2</v>
      </c>
      <c r="AC126" s="973">
        <f t="shared" si="67"/>
        <v>2</v>
      </c>
      <c r="AE126" s="793" t="str">
        <f t="shared" si="55"/>
        <v>413040202</v>
      </c>
      <c r="AF126" s="794" t="str">
        <f t="shared" si="56"/>
        <v>پیچ  یاتاقان</v>
      </c>
      <c r="AG126" s="538" t="str">
        <f t="shared" si="57"/>
        <v>Hex Bolt</v>
      </c>
      <c r="AH126" s="538" t="str">
        <f t="shared" si="62"/>
        <v>M18x70-5.6-Electroplated-Din 933</v>
      </c>
      <c r="AI126" s="157" t="s">
        <v>441</v>
      </c>
      <c r="AJ126" s="858" t="s">
        <v>395</v>
      </c>
      <c r="AK126" s="897" t="s">
        <v>484</v>
      </c>
      <c r="AL126" s="538" t="str">
        <f t="shared" si="61"/>
        <v>Pcs</v>
      </c>
      <c r="AM126" s="1073">
        <f t="shared" si="70"/>
        <v>2</v>
      </c>
      <c r="AP126"/>
      <c r="AQ126"/>
      <c r="AR126"/>
      <c r="AS126"/>
      <c r="BD126" s="1120" t="str">
        <f t="shared" si="58"/>
        <v>04</v>
      </c>
      <c r="BE126" s="1121" t="str">
        <f t="shared" si="59"/>
        <v>02</v>
      </c>
      <c r="BF126" s="1121" t="str">
        <f t="shared" si="59"/>
        <v>413040202</v>
      </c>
      <c r="BG126" s="1122" t="str">
        <f t="shared" si="47"/>
        <v>پایه ثابت</v>
      </c>
      <c r="BH126" s="1122">
        <f t="shared" si="47"/>
        <v>1</v>
      </c>
      <c r="BI126" s="1123">
        <f t="shared" si="48"/>
        <v>1</v>
      </c>
    </row>
    <row r="127" spans="1:61" ht="15" x14ac:dyDescent="0.25">
      <c r="A127" s="1171">
        <v>120</v>
      </c>
      <c r="B127" s="157" t="s">
        <v>179</v>
      </c>
      <c r="C127" s="157" t="s">
        <v>184</v>
      </c>
      <c r="D127" s="158" t="s">
        <v>186</v>
      </c>
      <c r="E127" s="158" t="s">
        <v>9</v>
      </c>
      <c r="F127" s="158" t="s">
        <v>196</v>
      </c>
      <c r="G127" s="157">
        <v>5</v>
      </c>
      <c r="H127" s="157" t="s">
        <v>10</v>
      </c>
      <c r="I127" s="157" t="s">
        <v>21</v>
      </c>
      <c r="J127" s="157">
        <v>2</v>
      </c>
      <c r="K127" s="157" t="s">
        <v>30</v>
      </c>
      <c r="L127" s="157">
        <f t="shared" ref="L127:L134" si="81">J127</f>
        <v>2</v>
      </c>
      <c r="M127" s="157">
        <f t="shared" ref="M127:M134" si="82">L127</f>
        <v>2</v>
      </c>
      <c r="N127" s="170">
        <f t="shared" si="78"/>
        <v>0</v>
      </c>
      <c r="O127" s="643"/>
      <c r="P127" s="533">
        <f t="shared" si="49"/>
        <v>413</v>
      </c>
      <c r="Q127" s="534" t="s">
        <v>37</v>
      </c>
      <c r="R127" s="535" t="str">
        <f t="shared" si="50"/>
        <v>پایه ثابت</v>
      </c>
      <c r="S127" s="535">
        <v>1</v>
      </c>
      <c r="T127" s="621" t="s">
        <v>35</v>
      </c>
      <c r="U127" s="535" t="str">
        <f t="shared" si="51"/>
        <v>یاتاقان</v>
      </c>
      <c r="V127" s="157">
        <v>1</v>
      </c>
      <c r="W127" s="621" t="s">
        <v>36</v>
      </c>
      <c r="X127" s="536" t="str">
        <f t="shared" si="52"/>
        <v>413040203</v>
      </c>
      <c r="Y127" s="537" t="str">
        <f t="shared" si="53"/>
        <v>مهره یاتاقان</v>
      </c>
      <c r="Z127" s="157" t="s">
        <v>362</v>
      </c>
      <c r="AA127" s="538">
        <f t="shared" si="54"/>
        <v>2</v>
      </c>
      <c r="AB127" s="662">
        <f t="shared" si="66"/>
        <v>2</v>
      </c>
      <c r="AC127" s="973">
        <f t="shared" si="67"/>
        <v>2</v>
      </c>
      <c r="AE127" s="793" t="str">
        <f t="shared" si="55"/>
        <v>413040203</v>
      </c>
      <c r="AF127" s="794" t="str">
        <f t="shared" si="56"/>
        <v>مهره یاتاقان</v>
      </c>
      <c r="AG127" s="538" t="str">
        <f t="shared" si="57"/>
        <v>Hex Nut</v>
      </c>
      <c r="AH127" s="538" t="str">
        <f t="shared" si="62"/>
        <v>M18-5-Electroplated-Din 934</v>
      </c>
      <c r="AI127" s="157" t="s">
        <v>442</v>
      </c>
      <c r="AJ127" s="858" t="s">
        <v>396</v>
      </c>
      <c r="AK127" s="897" t="s">
        <v>484</v>
      </c>
      <c r="AL127" s="538" t="str">
        <f t="shared" si="61"/>
        <v>Pcs</v>
      </c>
      <c r="AM127" s="1073">
        <f t="shared" si="70"/>
        <v>2</v>
      </c>
      <c r="AP127"/>
      <c r="AQ127"/>
      <c r="AR127"/>
      <c r="AS127"/>
      <c r="BD127" s="1120" t="str">
        <f t="shared" si="58"/>
        <v>04</v>
      </c>
      <c r="BE127" s="1121" t="str">
        <f t="shared" si="59"/>
        <v>03</v>
      </c>
      <c r="BF127" s="1121" t="str">
        <f t="shared" si="59"/>
        <v>413040203</v>
      </c>
      <c r="BG127" s="1122" t="str">
        <f t="shared" si="47"/>
        <v>پایه ثابت</v>
      </c>
      <c r="BH127" s="1122">
        <f t="shared" si="47"/>
        <v>1</v>
      </c>
      <c r="BI127" s="1123">
        <f t="shared" si="48"/>
        <v>1</v>
      </c>
    </row>
    <row r="128" spans="1:61" ht="15" x14ac:dyDescent="0.25">
      <c r="A128" s="1171">
        <v>121</v>
      </c>
      <c r="B128" s="157" t="s">
        <v>179</v>
      </c>
      <c r="C128" s="157" t="s">
        <v>184</v>
      </c>
      <c r="D128" s="158" t="s">
        <v>187</v>
      </c>
      <c r="E128" s="158" t="s">
        <v>193</v>
      </c>
      <c r="F128" s="158" t="s">
        <v>523</v>
      </c>
      <c r="G128" s="157" t="s">
        <v>199</v>
      </c>
      <c r="H128" s="157" t="s">
        <v>10</v>
      </c>
      <c r="I128" s="157" t="s">
        <v>200</v>
      </c>
      <c r="J128" s="157">
        <v>2</v>
      </c>
      <c r="K128" s="157" t="s">
        <v>30</v>
      </c>
      <c r="L128" s="157">
        <f t="shared" si="81"/>
        <v>2</v>
      </c>
      <c r="M128" s="157">
        <f t="shared" si="82"/>
        <v>2</v>
      </c>
      <c r="N128" s="170">
        <f t="shared" si="78"/>
        <v>0</v>
      </c>
      <c r="O128" s="643"/>
      <c r="P128" s="533">
        <f t="shared" si="49"/>
        <v>413</v>
      </c>
      <c r="Q128" s="534" t="s">
        <v>37</v>
      </c>
      <c r="R128" s="535" t="str">
        <f t="shared" si="50"/>
        <v>پایه ثابت</v>
      </c>
      <c r="S128" s="535">
        <v>1</v>
      </c>
      <c r="T128" s="621" t="s">
        <v>35</v>
      </c>
      <c r="U128" s="535" t="str">
        <f t="shared" si="51"/>
        <v>یاتاقان</v>
      </c>
      <c r="V128" s="157">
        <v>1</v>
      </c>
      <c r="W128" s="621" t="s">
        <v>37</v>
      </c>
      <c r="X128" s="536" t="str">
        <f t="shared" si="52"/>
        <v>413040204</v>
      </c>
      <c r="Y128" s="537" t="str">
        <f t="shared" si="53"/>
        <v>واشر تخت یاتاقان</v>
      </c>
      <c r="Z128" s="157" t="s">
        <v>197</v>
      </c>
      <c r="AA128" s="538">
        <f t="shared" si="54"/>
        <v>2</v>
      </c>
      <c r="AB128" s="662">
        <f t="shared" si="66"/>
        <v>2</v>
      </c>
      <c r="AC128" s="973">
        <f t="shared" si="67"/>
        <v>2</v>
      </c>
      <c r="AE128" s="793" t="str">
        <f t="shared" si="55"/>
        <v>413040204</v>
      </c>
      <c r="AF128" s="794" t="str">
        <f t="shared" si="56"/>
        <v>واشر تخت یاتاقان</v>
      </c>
      <c r="AG128" s="538" t="str">
        <f t="shared" si="57"/>
        <v>Flat Washer</v>
      </c>
      <c r="AH128" s="538" t="str">
        <f t="shared" si="62"/>
        <v>A18x35-S-Electroplated-Din 126</v>
      </c>
      <c r="AI128" s="157" t="s">
        <v>443</v>
      </c>
      <c r="AJ128" s="858" t="s">
        <v>397</v>
      </c>
      <c r="AK128" s="897" t="s">
        <v>484</v>
      </c>
      <c r="AL128" s="538" t="str">
        <f t="shared" si="61"/>
        <v>Pcs</v>
      </c>
      <c r="AM128" s="1073">
        <f t="shared" si="70"/>
        <v>2</v>
      </c>
      <c r="AP128"/>
      <c r="AQ128"/>
      <c r="AR128"/>
      <c r="AS128"/>
      <c r="BD128" s="1120" t="str">
        <f t="shared" si="58"/>
        <v>04</v>
      </c>
      <c r="BE128" s="1121" t="str">
        <f t="shared" si="59"/>
        <v>04</v>
      </c>
      <c r="BF128" s="1121" t="str">
        <f t="shared" si="59"/>
        <v>413040204</v>
      </c>
      <c r="BG128" s="1122" t="str">
        <f t="shared" si="47"/>
        <v>پایه ثابت</v>
      </c>
      <c r="BH128" s="1122">
        <f t="shared" si="47"/>
        <v>1</v>
      </c>
      <c r="BI128" s="1123">
        <f t="shared" si="48"/>
        <v>1</v>
      </c>
    </row>
    <row r="129" spans="1:61" ht="15" x14ac:dyDescent="0.25">
      <c r="A129" s="1171">
        <v>122</v>
      </c>
      <c r="B129" s="157" t="s">
        <v>179</v>
      </c>
      <c r="C129" s="157" t="s">
        <v>184</v>
      </c>
      <c r="D129" s="158" t="s">
        <v>188</v>
      </c>
      <c r="E129" s="158" t="s">
        <v>18</v>
      </c>
      <c r="F129" s="158" t="s">
        <v>197</v>
      </c>
      <c r="G129" s="157" t="s">
        <v>24</v>
      </c>
      <c r="H129" s="157" t="s">
        <v>10</v>
      </c>
      <c r="I129" s="157" t="s">
        <v>22</v>
      </c>
      <c r="J129" s="157">
        <v>2</v>
      </c>
      <c r="K129" s="157" t="s">
        <v>30</v>
      </c>
      <c r="L129" s="157">
        <f t="shared" si="81"/>
        <v>2</v>
      </c>
      <c r="M129" s="157">
        <f t="shared" si="82"/>
        <v>2</v>
      </c>
      <c r="N129" s="170">
        <f t="shared" si="78"/>
        <v>0</v>
      </c>
      <c r="O129" s="643"/>
      <c r="P129" s="533">
        <f t="shared" si="49"/>
        <v>413</v>
      </c>
      <c r="Q129" s="534" t="s">
        <v>37</v>
      </c>
      <c r="R129" s="535" t="str">
        <f t="shared" si="50"/>
        <v>پایه ثابت</v>
      </c>
      <c r="S129" s="535">
        <v>1</v>
      </c>
      <c r="T129" s="621" t="s">
        <v>35</v>
      </c>
      <c r="U129" s="535" t="str">
        <f t="shared" si="51"/>
        <v>یاتاقان</v>
      </c>
      <c r="V129" s="157">
        <v>1</v>
      </c>
      <c r="W129" s="621" t="s">
        <v>38</v>
      </c>
      <c r="X129" s="536" t="str">
        <f t="shared" si="52"/>
        <v>413040205</v>
      </c>
      <c r="Y129" s="537" t="str">
        <f t="shared" si="53"/>
        <v>واشر فنری یاتاقان</v>
      </c>
      <c r="Z129" s="157" t="s">
        <v>197</v>
      </c>
      <c r="AA129" s="538">
        <f t="shared" si="54"/>
        <v>2</v>
      </c>
      <c r="AB129" s="662">
        <f t="shared" si="66"/>
        <v>2</v>
      </c>
      <c r="AC129" s="973">
        <f t="shared" si="67"/>
        <v>2</v>
      </c>
      <c r="AE129" s="793" t="str">
        <f t="shared" si="55"/>
        <v>413040205</v>
      </c>
      <c r="AF129" s="794" t="str">
        <f t="shared" si="56"/>
        <v>واشر فنری یاتاقان</v>
      </c>
      <c r="AG129" s="538" t="str">
        <f t="shared" si="57"/>
        <v>Spring Washer</v>
      </c>
      <c r="AH129" s="538" t="str">
        <f t="shared" si="62"/>
        <v>A18-F-Electroplated-Din 127</v>
      </c>
      <c r="AI129" s="157" t="s">
        <v>444</v>
      </c>
      <c r="AJ129" s="858" t="s">
        <v>398</v>
      </c>
      <c r="AK129" s="897" t="s">
        <v>484</v>
      </c>
      <c r="AL129" s="538" t="str">
        <f t="shared" si="61"/>
        <v>Pcs</v>
      </c>
      <c r="AM129" s="1073">
        <f t="shared" si="70"/>
        <v>2</v>
      </c>
      <c r="AP129"/>
      <c r="AQ129"/>
      <c r="AR129"/>
      <c r="AS129"/>
      <c r="BD129" s="1120" t="str">
        <f t="shared" si="58"/>
        <v>04</v>
      </c>
      <c r="BE129" s="1121" t="str">
        <f t="shared" si="59"/>
        <v>05</v>
      </c>
      <c r="BF129" s="1121" t="str">
        <f t="shared" si="59"/>
        <v>413040205</v>
      </c>
      <c r="BG129" s="1122" t="str">
        <f t="shared" si="47"/>
        <v>پایه ثابت</v>
      </c>
      <c r="BH129" s="1122">
        <f t="shared" si="47"/>
        <v>1</v>
      </c>
      <c r="BI129" s="1123">
        <f t="shared" si="48"/>
        <v>1</v>
      </c>
    </row>
    <row r="130" spans="1:61" ht="15" x14ac:dyDescent="0.25">
      <c r="A130" s="1200">
        <v>123</v>
      </c>
      <c r="B130" s="157" t="s">
        <v>179</v>
      </c>
      <c r="C130" s="157" t="s">
        <v>184</v>
      </c>
      <c r="D130" s="158" t="s">
        <v>189</v>
      </c>
      <c r="E130" s="158" t="s">
        <v>3</v>
      </c>
      <c r="F130" s="158" t="s">
        <v>80</v>
      </c>
      <c r="G130" s="157">
        <v>8</v>
      </c>
      <c r="H130" s="157" t="s">
        <v>531</v>
      </c>
      <c r="I130" s="157" t="s">
        <v>201</v>
      </c>
      <c r="J130" s="157">
        <v>1</v>
      </c>
      <c r="K130" s="157" t="s">
        <v>29</v>
      </c>
      <c r="L130" s="1150">
        <f>((35*35*3.1415)-(7*7*3.1415))*7.85*8*J130/1000000</f>
        <v>0.23200857119999999</v>
      </c>
      <c r="M130" s="1150">
        <f>L130</f>
        <v>0.23200857119999999</v>
      </c>
      <c r="N130" s="170">
        <f t="shared" si="78"/>
        <v>0</v>
      </c>
      <c r="O130" s="643"/>
      <c r="P130" s="533">
        <f t="shared" si="49"/>
        <v>413</v>
      </c>
      <c r="Q130" s="534" t="s">
        <v>37</v>
      </c>
      <c r="R130" s="535" t="str">
        <f t="shared" si="50"/>
        <v>پایه ثابت</v>
      </c>
      <c r="S130" s="535">
        <v>1</v>
      </c>
      <c r="T130" s="621" t="s">
        <v>35</v>
      </c>
      <c r="U130" s="535" t="str">
        <f t="shared" si="51"/>
        <v>یاتاقان</v>
      </c>
      <c r="V130" s="157">
        <v>1</v>
      </c>
      <c r="W130" s="621" t="s">
        <v>39</v>
      </c>
      <c r="X130" s="536" t="str">
        <f t="shared" si="52"/>
        <v>413040206</v>
      </c>
      <c r="Y130" s="537" t="str">
        <f t="shared" si="53"/>
        <v>واشر استپ پشت یاتاقان</v>
      </c>
      <c r="Z130" s="157" t="s">
        <v>363</v>
      </c>
      <c r="AA130" s="538">
        <f t="shared" si="54"/>
        <v>1</v>
      </c>
      <c r="AB130" s="662">
        <f t="shared" si="66"/>
        <v>1</v>
      </c>
      <c r="AC130" s="973">
        <f t="shared" si="67"/>
        <v>1</v>
      </c>
      <c r="AE130" s="793" t="str">
        <f t="shared" si="55"/>
        <v>413040206</v>
      </c>
      <c r="AF130" s="794" t="str">
        <f t="shared" si="56"/>
        <v>واشر استپ پشت یاتاقان</v>
      </c>
      <c r="AG130" s="538" t="str">
        <f t="shared" si="57"/>
        <v>Plate</v>
      </c>
      <c r="AH130" s="538" t="str">
        <f>F130</f>
        <v>St-37</v>
      </c>
      <c r="AI130" s="157" t="s">
        <v>432</v>
      </c>
      <c r="AJ130" s="858" t="s">
        <v>472</v>
      </c>
      <c r="AK130" s="897" t="s">
        <v>484</v>
      </c>
      <c r="AL130" s="538" t="str">
        <f t="shared" si="61"/>
        <v>Kg</v>
      </c>
      <c r="AM130" s="1073">
        <f t="shared" si="70"/>
        <v>1</v>
      </c>
      <c r="AP130"/>
      <c r="AQ130"/>
      <c r="AR130"/>
      <c r="AS130"/>
      <c r="BD130" s="1120" t="str">
        <f t="shared" si="58"/>
        <v>04</v>
      </c>
      <c r="BE130" s="1121" t="str">
        <f t="shared" si="59"/>
        <v>06</v>
      </c>
      <c r="BF130" s="1121" t="str">
        <f t="shared" si="59"/>
        <v>413040206</v>
      </c>
      <c r="BG130" s="1122" t="str">
        <f t="shared" si="47"/>
        <v>پایه ثابت</v>
      </c>
      <c r="BH130" s="1122">
        <f t="shared" si="47"/>
        <v>1</v>
      </c>
      <c r="BI130" s="1123">
        <f t="shared" si="48"/>
        <v>1</v>
      </c>
    </row>
    <row r="131" spans="1:61" ht="15" x14ac:dyDescent="0.25">
      <c r="A131" s="1200">
        <v>124</v>
      </c>
      <c r="B131" s="157" t="s">
        <v>179</v>
      </c>
      <c r="C131" s="157" t="s">
        <v>184</v>
      </c>
      <c r="D131" s="158" t="s">
        <v>190</v>
      </c>
      <c r="E131" s="158" t="s">
        <v>8</v>
      </c>
      <c r="F131" s="158" t="s">
        <v>198</v>
      </c>
      <c r="G131" s="157">
        <v>5.6</v>
      </c>
      <c r="H131" s="157" t="s">
        <v>10</v>
      </c>
      <c r="I131" s="157" t="s">
        <v>20</v>
      </c>
      <c r="J131" s="157">
        <v>1</v>
      </c>
      <c r="K131" s="157" t="s">
        <v>30</v>
      </c>
      <c r="L131" s="157">
        <f t="shared" si="81"/>
        <v>1</v>
      </c>
      <c r="M131" s="157">
        <f t="shared" si="82"/>
        <v>1</v>
      </c>
      <c r="N131" s="170">
        <f t="shared" si="78"/>
        <v>0</v>
      </c>
      <c r="O131" s="643"/>
      <c r="P131" s="533">
        <f t="shared" si="49"/>
        <v>413</v>
      </c>
      <c r="Q131" s="534" t="s">
        <v>37</v>
      </c>
      <c r="R131" s="535" t="str">
        <f t="shared" si="50"/>
        <v>پایه ثابت</v>
      </c>
      <c r="S131" s="535">
        <v>1</v>
      </c>
      <c r="T131" s="621" t="s">
        <v>35</v>
      </c>
      <c r="U131" s="535" t="str">
        <f t="shared" si="51"/>
        <v>یاتاقان</v>
      </c>
      <c r="V131" s="157">
        <v>1</v>
      </c>
      <c r="W131" s="621" t="s">
        <v>40</v>
      </c>
      <c r="X131" s="536" t="str">
        <f t="shared" si="52"/>
        <v>413040207</v>
      </c>
      <c r="Y131" s="537" t="str">
        <f t="shared" si="53"/>
        <v>پیچ واشر استپ</v>
      </c>
      <c r="Z131" s="157" t="s">
        <v>198</v>
      </c>
      <c r="AA131" s="538">
        <f t="shared" si="54"/>
        <v>1</v>
      </c>
      <c r="AB131" s="662">
        <f t="shared" si="66"/>
        <v>1</v>
      </c>
      <c r="AC131" s="973">
        <f t="shared" si="67"/>
        <v>1</v>
      </c>
      <c r="AE131" s="793" t="str">
        <f t="shared" si="55"/>
        <v>413040207</v>
      </c>
      <c r="AF131" s="794" t="str">
        <f t="shared" si="56"/>
        <v>پیچ واشر استپ</v>
      </c>
      <c r="AG131" s="538" t="str">
        <f t="shared" si="57"/>
        <v>Hex Bolt</v>
      </c>
      <c r="AH131" s="538" t="str">
        <f t="shared" si="62"/>
        <v>M14x50-5.6-Electroplated-Din 933</v>
      </c>
      <c r="AI131" s="157" t="s">
        <v>445</v>
      </c>
      <c r="AJ131" s="858" t="s">
        <v>399</v>
      </c>
      <c r="AK131" s="897" t="s">
        <v>484</v>
      </c>
      <c r="AL131" s="538" t="str">
        <f t="shared" si="61"/>
        <v>Pcs</v>
      </c>
      <c r="AM131" s="1073">
        <f t="shared" si="70"/>
        <v>1</v>
      </c>
      <c r="AP131"/>
      <c r="AQ131"/>
      <c r="AR131"/>
      <c r="AS131"/>
      <c r="BD131" s="1120" t="str">
        <f t="shared" si="58"/>
        <v>04</v>
      </c>
      <c r="BE131" s="1121" t="str">
        <f t="shared" si="59"/>
        <v>07</v>
      </c>
      <c r="BF131" s="1121" t="str">
        <f t="shared" si="59"/>
        <v>413040207</v>
      </c>
      <c r="BG131" s="1122" t="str">
        <f t="shared" si="47"/>
        <v>پایه ثابت</v>
      </c>
      <c r="BH131" s="1122">
        <f t="shared" si="47"/>
        <v>1</v>
      </c>
      <c r="BI131" s="1123">
        <f t="shared" si="48"/>
        <v>1</v>
      </c>
    </row>
    <row r="132" spans="1:61" ht="15.75" thickBot="1" x14ac:dyDescent="0.3">
      <c r="A132" s="1201">
        <v>125</v>
      </c>
      <c r="B132" s="307" t="s">
        <v>179</v>
      </c>
      <c r="C132" s="307" t="s">
        <v>184</v>
      </c>
      <c r="D132" s="308" t="s">
        <v>191</v>
      </c>
      <c r="E132" s="308" t="s">
        <v>18</v>
      </c>
      <c r="F132" s="308" t="s">
        <v>152</v>
      </c>
      <c r="G132" s="307" t="s">
        <v>24</v>
      </c>
      <c r="H132" s="307" t="s">
        <v>10</v>
      </c>
      <c r="I132" s="307" t="s">
        <v>22</v>
      </c>
      <c r="J132" s="307">
        <v>1</v>
      </c>
      <c r="K132" s="307" t="s">
        <v>30</v>
      </c>
      <c r="L132" s="307">
        <f t="shared" si="81"/>
        <v>1</v>
      </c>
      <c r="M132" s="307">
        <f t="shared" si="82"/>
        <v>1</v>
      </c>
      <c r="N132" s="309">
        <f t="shared" si="78"/>
        <v>0</v>
      </c>
      <c r="O132" s="643"/>
      <c r="P132" s="539">
        <f t="shared" si="49"/>
        <v>413</v>
      </c>
      <c r="Q132" s="540" t="s">
        <v>37</v>
      </c>
      <c r="R132" s="541" t="str">
        <f t="shared" si="50"/>
        <v>پایه ثابت</v>
      </c>
      <c r="S132" s="541">
        <v>1</v>
      </c>
      <c r="T132" s="974" t="s">
        <v>35</v>
      </c>
      <c r="U132" s="541" t="str">
        <f t="shared" si="51"/>
        <v>یاتاقان</v>
      </c>
      <c r="V132" s="975">
        <v>1</v>
      </c>
      <c r="W132" s="974" t="s">
        <v>41</v>
      </c>
      <c r="X132" s="542" t="str">
        <f t="shared" si="52"/>
        <v>413040208</v>
      </c>
      <c r="Y132" s="543" t="str">
        <f t="shared" si="53"/>
        <v>واشر فنری واشر استپ</v>
      </c>
      <c r="Z132" s="975" t="s">
        <v>152</v>
      </c>
      <c r="AA132" s="544">
        <f t="shared" si="54"/>
        <v>1</v>
      </c>
      <c r="AB132" s="976">
        <f t="shared" si="66"/>
        <v>1</v>
      </c>
      <c r="AC132" s="977">
        <f t="shared" si="67"/>
        <v>1</v>
      </c>
      <c r="AE132" s="795" t="str">
        <f t="shared" si="55"/>
        <v>413040208</v>
      </c>
      <c r="AF132" s="796" t="str">
        <f t="shared" si="56"/>
        <v>واشر فنری واشر استپ</v>
      </c>
      <c r="AG132" s="564" t="str">
        <f t="shared" si="57"/>
        <v>Spring Washer</v>
      </c>
      <c r="AH132" s="564" t="str">
        <f t="shared" si="62"/>
        <v>A14-F-Electroplated-Din 127</v>
      </c>
      <c r="AI132" s="307" t="s">
        <v>430</v>
      </c>
      <c r="AJ132" s="1148" t="s">
        <v>391</v>
      </c>
      <c r="AK132" s="898" t="s">
        <v>484</v>
      </c>
      <c r="AL132" s="564" t="str">
        <f t="shared" si="61"/>
        <v>Pcs</v>
      </c>
      <c r="AM132" s="1077">
        <f t="shared" si="70"/>
        <v>1</v>
      </c>
      <c r="AP132"/>
      <c r="AQ132"/>
      <c r="AR132"/>
      <c r="AS132"/>
      <c r="BD132" s="1120" t="str">
        <f t="shared" si="58"/>
        <v>04</v>
      </c>
      <c r="BE132" s="1121" t="str">
        <f t="shared" si="59"/>
        <v>08</v>
      </c>
      <c r="BF132" s="1121" t="str">
        <f t="shared" si="59"/>
        <v>413040208</v>
      </c>
      <c r="BG132" s="1122" t="str">
        <f t="shared" si="47"/>
        <v>پایه ثابت</v>
      </c>
      <c r="BH132" s="1122">
        <f t="shared" si="47"/>
        <v>1</v>
      </c>
      <c r="BI132" s="1123">
        <f t="shared" si="48"/>
        <v>1</v>
      </c>
    </row>
    <row r="133" spans="1:61" ht="15" x14ac:dyDescent="0.25">
      <c r="A133" s="1183">
        <v>126</v>
      </c>
      <c r="B133" s="161" t="s">
        <v>179</v>
      </c>
      <c r="C133" s="161" t="s">
        <v>202</v>
      </c>
      <c r="D133" s="162" t="s">
        <v>203</v>
      </c>
      <c r="E133" s="162" t="s">
        <v>8</v>
      </c>
      <c r="F133" s="162" t="s">
        <v>206</v>
      </c>
      <c r="G133" s="161">
        <v>5.6</v>
      </c>
      <c r="H133" s="161" t="s">
        <v>10</v>
      </c>
      <c r="I133" s="161" t="s">
        <v>529</v>
      </c>
      <c r="J133" s="161">
        <v>4</v>
      </c>
      <c r="K133" s="161" t="s">
        <v>30</v>
      </c>
      <c r="L133" s="161">
        <f t="shared" si="81"/>
        <v>4</v>
      </c>
      <c r="M133" s="161">
        <f t="shared" si="82"/>
        <v>4</v>
      </c>
      <c r="N133" s="173">
        <f t="shared" si="78"/>
        <v>0</v>
      </c>
      <c r="O133" s="643"/>
      <c r="P133" s="545">
        <f t="shared" si="49"/>
        <v>413</v>
      </c>
      <c r="Q133" s="546" t="s">
        <v>37</v>
      </c>
      <c r="R133" s="547" t="str">
        <f t="shared" si="50"/>
        <v>پایه ثابت</v>
      </c>
      <c r="S133" s="547">
        <v>1</v>
      </c>
      <c r="T133" s="618" t="s">
        <v>36</v>
      </c>
      <c r="U133" s="547" t="str">
        <f t="shared" si="51"/>
        <v>اتصالات پایه ثابت</v>
      </c>
      <c r="V133" s="161">
        <v>1</v>
      </c>
      <c r="W133" s="618" t="s">
        <v>34</v>
      </c>
      <c r="X133" s="548" t="str">
        <f t="shared" si="52"/>
        <v>413040301</v>
      </c>
      <c r="Y133" s="549" t="str">
        <f t="shared" si="53"/>
        <v>پیچ رولپلاگ</v>
      </c>
      <c r="Z133" s="161" t="s">
        <v>205</v>
      </c>
      <c r="AA133" s="550">
        <f t="shared" si="54"/>
        <v>4</v>
      </c>
      <c r="AB133" s="659">
        <f t="shared" si="66"/>
        <v>4</v>
      </c>
      <c r="AC133" s="978">
        <f t="shared" si="67"/>
        <v>4</v>
      </c>
      <c r="AE133" s="785" t="str">
        <f t="shared" si="55"/>
        <v>413040301</v>
      </c>
      <c r="AF133" s="786" t="str">
        <f t="shared" si="56"/>
        <v>پیچ رولپلاگ</v>
      </c>
      <c r="AG133" s="550" t="str">
        <f t="shared" si="57"/>
        <v>Hex Bolt</v>
      </c>
      <c r="AH133" s="550" t="str">
        <f t="shared" si="62"/>
        <v>M8x80-5.6-Electroplated-Din 7972</v>
      </c>
      <c r="AI133" s="161" t="s">
        <v>525</v>
      </c>
      <c r="AJ133" s="859" t="s">
        <v>401</v>
      </c>
      <c r="AK133" s="895" t="s">
        <v>484</v>
      </c>
      <c r="AL133" s="550" t="str">
        <f t="shared" si="61"/>
        <v>Pcs</v>
      </c>
      <c r="AM133" s="1074">
        <f t="shared" si="70"/>
        <v>4</v>
      </c>
      <c r="AP133"/>
      <c r="AQ133"/>
      <c r="AR133"/>
      <c r="AS133"/>
      <c r="BD133" s="1120" t="str">
        <f t="shared" si="58"/>
        <v>04</v>
      </c>
      <c r="BE133" s="1121" t="str">
        <f t="shared" si="59"/>
        <v>01</v>
      </c>
      <c r="BF133" s="1121" t="str">
        <f t="shared" si="59"/>
        <v>413040301</v>
      </c>
      <c r="BG133" s="1122" t="str">
        <f t="shared" si="47"/>
        <v>پایه ثابت</v>
      </c>
      <c r="BH133" s="1122">
        <f t="shared" si="47"/>
        <v>1</v>
      </c>
      <c r="BI133" s="1123">
        <f t="shared" si="48"/>
        <v>1</v>
      </c>
    </row>
    <row r="134" spans="1:61" ht="15.75" thickBot="1" x14ac:dyDescent="0.3">
      <c r="A134" s="1174">
        <v>127</v>
      </c>
      <c r="B134" s="164" t="s">
        <v>179</v>
      </c>
      <c r="C134" s="164" t="s">
        <v>202</v>
      </c>
      <c r="D134" s="165" t="s">
        <v>204</v>
      </c>
      <c r="E134" s="165" t="s">
        <v>240</v>
      </c>
      <c r="F134" s="165" t="s">
        <v>205</v>
      </c>
      <c r="G134" s="164" t="s">
        <v>2</v>
      </c>
      <c r="H134" s="164" t="s">
        <v>2</v>
      </c>
      <c r="I134" s="164" t="s">
        <v>2</v>
      </c>
      <c r="J134" s="164">
        <v>4</v>
      </c>
      <c r="K134" s="164" t="s">
        <v>30</v>
      </c>
      <c r="L134" s="164">
        <f t="shared" si="81"/>
        <v>4</v>
      </c>
      <c r="M134" s="164">
        <f t="shared" si="82"/>
        <v>4</v>
      </c>
      <c r="N134" s="179">
        <f t="shared" si="78"/>
        <v>0</v>
      </c>
      <c r="O134" s="643"/>
      <c r="P134" s="557">
        <f t="shared" si="49"/>
        <v>413</v>
      </c>
      <c r="Q134" s="558" t="s">
        <v>37</v>
      </c>
      <c r="R134" s="559" t="str">
        <f t="shared" si="50"/>
        <v>پایه ثابت</v>
      </c>
      <c r="S134" s="559">
        <v>1</v>
      </c>
      <c r="T134" s="970" t="s">
        <v>36</v>
      </c>
      <c r="U134" s="559" t="str">
        <f t="shared" si="51"/>
        <v>اتصالات پایه ثابت</v>
      </c>
      <c r="V134" s="971">
        <v>1</v>
      </c>
      <c r="W134" s="970" t="s">
        <v>35</v>
      </c>
      <c r="X134" s="560" t="str">
        <f t="shared" si="52"/>
        <v>413040302</v>
      </c>
      <c r="Y134" s="561" t="str">
        <f t="shared" si="53"/>
        <v>رولپلاگ</v>
      </c>
      <c r="Z134" s="971" t="s">
        <v>205</v>
      </c>
      <c r="AA134" s="562">
        <f t="shared" si="54"/>
        <v>4</v>
      </c>
      <c r="AB134" s="980">
        <f t="shared" si="66"/>
        <v>4</v>
      </c>
      <c r="AC134" s="981">
        <f t="shared" si="67"/>
        <v>4</v>
      </c>
      <c r="AE134" s="789" t="str">
        <f t="shared" si="55"/>
        <v>413040302</v>
      </c>
      <c r="AF134" s="790" t="str">
        <f t="shared" si="56"/>
        <v>رولپلاگ</v>
      </c>
      <c r="AG134" s="563" t="str">
        <f t="shared" si="57"/>
        <v>Raw plug</v>
      </c>
      <c r="AH134" s="563" t="str">
        <f t="shared" ref="AH134:AH145" si="83">F134</f>
        <v>8x80</v>
      </c>
      <c r="AI134" s="164" t="s">
        <v>204</v>
      </c>
      <c r="AJ134" s="856" t="s">
        <v>402</v>
      </c>
      <c r="AK134" s="899" t="s">
        <v>484</v>
      </c>
      <c r="AL134" s="563" t="str">
        <f t="shared" si="61"/>
        <v>Pcs</v>
      </c>
      <c r="AM134" s="1076">
        <f t="shared" si="70"/>
        <v>4</v>
      </c>
      <c r="AP134"/>
      <c r="AQ134"/>
      <c r="AR134"/>
      <c r="AS134"/>
      <c r="BD134" s="1120" t="str">
        <f t="shared" si="58"/>
        <v>04</v>
      </c>
      <c r="BE134" s="1121" t="str">
        <f t="shared" si="59"/>
        <v>02</v>
      </c>
      <c r="BF134" s="1121" t="str">
        <f t="shared" si="59"/>
        <v>413040302</v>
      </c>
      <c r="BG134" s="1122" t="str">
        <f t="shared" si="47"/>
        <v>پایه ثابت</v>
      </c>
      <c r="BH134" s="1122">
        <f t="shared" si="47"/>
        <v>1</v>
      </c>
      <c r="BI134" s="1123">
        <f t="shared" si="48"/>
        <v>1</v>
      </c>
    </row>
    <row r="135" spans="1:61" ht="15" x14ac:dyDescent="0.2">
      <c r="A135" s="1170">
        <v>128</v>
      </c>
      <c r="B135" s="180" t="s">
        <v>207</v>
      </c>
      <c r="C135" s="180" t="s">
        <v>207</v>
      </c>
      <c r="D135" s="186" t="s">
        <v>180</v>
      </c>
      <c r="E135" s="186" t="s">
        <v>3</v>
      </c>
      <c r="F135" s="186" t="s">
        <v>80</v>
      </c>
      <c r="G135" s="180">
        <v>20</v>
      </c>
      <c r="H135" s="180">
        <v>90</v>
      </c>
      <c r="I135" s="180">
        <v>400</v>
      </c>
      <c r="J135" s="180">
        <v>1</v>
      </c>
      <c r="K135" s="180" t="s">
        <v>29</v>
      </c>
      <c r="L135" s="180">
        <f>G135*H135*I135*J135*7.85/1000000</f>
        <v>5.6520000000000001</v>
      </c>
      <c r="M135" s="180">
        <f>((((1500-(INT(1500/H135)*H135))/(INT(1500/H135)))+H135)*G135*I135*J135*7.85)/1000000</f>
        <v>5.8875000000000002</v>
      </c>
      <c r="N135" s="181">
        <f t="shared" si="78"/>
        <v>4.1666666666666671E-2</v>
      </c>
      <c r="O135" s="642"/>
      <c r="P135" s="423">
        <f t="shared" si="49"/>
        <v>413</v>
      </c>
      <c r="Q135" s="424" t="s">
        <v>38</v>
      </c>
      <c r="R135" s="425" t="str">
        <f t="shared" si="50"/>
        <v>پایه متحرک</v>
      </c>
      <c r="S135" s="425">
        <v>1</v>
      </c>
      <c r="T135" s="622" t="s">
        <v>34</v>
      </c>
      <c r="U135" s="425" t="str">
        <f t="shared" si="51"/>
        <v>پایه متحرک</v>
      </c>
      <c r="V135" s="180">
        <v>1</v>
      </c>
      <c r="W135" s="622" t="s">
        <v>34</v>
      </c>
      <c r="X135" s="427" t="str">
        <f t="shared" si="52"/>
        <v>413050101</v>
      </c>
      <c r="Y135" s="428" t="str">
        <f t="shared" si="53"/>
        <v>صفحه زیر یاتاقان</v>
      </c>
      <c r="Z135" s="180" t="s">
        <v>364</v>
      </c>
      <c r="AA135" s="426">
        <f t="shared" si="54"/>
        <v>1</v>
      </c>
      <c r="AB135" s="663">
        <f t="shared" si="66"/>
        <v>1</v>
      </c>
      <c r="AC135" s="983">
        <f t="shared" si="67"/>
        <v>1</v>
      </c>
      <c r="AE135" s="797" t="str">
        <f t="shared" si="55"/>
        <v>413050101</v>
      </c>
      <c r="AF135" s="798" t="str">
        <f t="shared" si="56"/>
        <v>صفحه زیر یاتاقان</v>
      </c>
      <c r="AG135" s="426" t="str">
        <f t="shared" si="57"/>
        <v>Plate</v>
      </c>
      <c r="AH135" s="426" t="str">
        <f t="shared" si="83"/>
        <v>St-37</v>
      </c>
      <c r="AI135" s="180" t="s">
        <v>439</v>
      </c>
      <c r="AJ135" s="860" t="s">
        <v>483</v>
      </c>
      <c r="AK135" s="900">
        <f>M135/J35</f>
        <v>0.73593750000000002</v>
      </c>
      <c r="AL135" s="426" t="str">
        <f t="shared" si="61"/>
        <v>Kg</v>
      </c>
      <c r="AM135" s="1065">
        <f t="shared" si="70"/>
        <v>0.73593750000000002</v>
      </c>
      <c r="BD135" s="1120" t="str">
        <f t="shared" si="58"/>
        <v>05</v>
      </c>
      <c r="BE135" s="1121" t="str">
        <f t="shared" si="59"/>
        <v>01</v>
      </c>
      <c r="BF135" s="1121" t="str">
        <f t="shared" si="59"/>
        <v>413050101</v>
      </c>
      <c r="BG135" s="1122" t="str">
        <f t="shared" si="47"/>
        <v>پایه متحرک</v>
      </c>
      <c r="BH135" s="1122">
        <f t="shared" si="47"/>
        <v>1</v>
      </c>
      <c r="BI135" s="1123">
        <f t="shared" si="48"/>
        <v>1</v>
      </c>
    </row>
    <row r="136" spans="1:61" ht="15" x14ac:dyDescent="0.2">
      <c r="A136" s="1171">
        <v>129</v>
      </c>
      <c r="B136" s="182" t="s">
        <v>207</v>
      </c>
      <c r="C136" s="182" t="s">
        <v>207</v>
      </c>
      <c r="D136" s="187" t="s">
        <v>181</v>
      </c>
      <c r="E136" s="187" t="s">
        <v>3</v>
      </c>
      <c r="F136" s="187" t="s">
        <v>80</v>
      </c>
      <c r="G136" s="182">
        <v>10</v>
      </c>
      <c r="H136" s="182">
        <v>120</v>
      </c>
      <c r="I136" s="182">
        <v>160</v>
      </c>
      <c r="J136" s="182">
        <v>3</v>
      </c>
      <c r="K136" s="182" t="s">
        <v>29</v>
      </c>
      <c r="L136" s="183">
        <f>G136*H136*I136*J136*7.85/1000000</f>
        <v>4.5216000000000003</v>
      </c>
      <c r="M136" s="182">
        <f>((((1500-(INT(1500/H136)*H136))/(INT(1500/H136)))+H136)*G136*I136*J136*7.85)/1000000</f>
        <v>4.71</v>
      </c>
      <c r="N136" s="184">
        <f t="shared" si="78"/>
        <v>4.1666666666666595E-2</v>
      </c>
      <c r="O136" s="642"/>
      <c r="P136" s="429">
        <f t="shared" si="49"/>
        <v>413</v>
      </c>
      <c r="Q136" s="430" t="s">
        <v>38</v>
      </c>
      <c r="R136" s="431" t="str">
        <f t="shared" si="50"/>
        <v>پایه متحرک</v>
      </c>
      <c r="S136" s="431">
        <v>1</v>
      </c>
      <c r="T136" s="623" t="s">
        <v>34</v>
      </c>
      <c r="U136" s="431" t="str">
        <f t="shared" si="51"/>
        <v>پایه متحرک</v>
      </c>
      <c r="V136" s="182">
        <v>1</v>
      </c>
      <c r="W136" s="623" t="s">
        <v>35</v>
      </c>
      <c r="X136" s="433" t="str">
        <f t="shared" si="52"/>
        <v>413050102</v>
      </c>
      <c r="Y136" s="434" t="str">
        <f t="shared" si="53"/>
        <v>صفحه زیر پایه</v>
      </c>
      <c r="Z136" s="182" t="s">
        <v>365</v>
      </c>
      <c r="AA136" s="432">
        <f t="shared" si="54"/>
        <v>3</v>
      </c>
      <c r="AB136" s="664">
        <f t="shared" si="66"/>
        <v>3</v>
      </c>
      <c r="AC136" s="984">
        <f t="shared" si="67"/>
        <v>3</v>
      </c>
      <c r="AE136" s="799" t="str">
        <f t="shared" si="55"/>
        <v>413050102</v>
      </c>
      <c r="AF136" s="800" t="str">
        <f t="shared" si="56"/>
        <v>صفحه زیر پایه</v>
      </c>
      <c r="AG136" s="432" t="str">
        <f t="shared" si="57"/>
        <v>Plate</v>
      </c>
      <c r="AH136" s="432" t="str">
        <f t="shared" si="83"/>
        <v>St-37</v>
      </c>
      <c r="AI136" s="182" t="s">
        <v>427</v>
      </c>
      <c r="AJ136" s="861" t="s">
        <v>471</v>
      </c>
      <c r="AK136" s="901">
        <f t="shared" ref="AK136:AK146" si="84">M136/J36</f>
        <v>0.58875</v>
      </c>
      <c r="AL136" s="432" t="str">
        <f t="shared" si="61"/>
        <v>Kg</v>
      </c>
      <c r="AM136" s="1066">
        <f t="shared" si="70"/>
        <v>1.7662499999999999</v>
      </c>
      <c r="BD136" s="1120" t="str">
        <f t="shared" si="58"/>
        <v>05</v>
      </c>
      <c r="BE136" s="1121" t="str">
        <f t="shared" si="59"/>
        <v>02</v>
      </c>
      <c r="BF136" s="1121" t="str">
        <f t="shared" si="59"/>
        <v>413050102</v>
      </c>
      <c r="BG136" s="1122" t="str">
        <f t="shared" ref="BG136:BH199" si="85">R136</f>
        <v>پایه متحرک</v>
      </c>
      <c r="BH136" s="1122">
        <f t="shared" si="85"/>
        <v>1</v>
      </c>
      <c r="BI136" s="1123">
        <f t="shared" ref="BI136:BI199" si="86">BH136*BA$5</f>
        <v>1</v>
      </c>
    </row>
    <row r="137" spans="1:61" ht="15" x14ac:dyDescent="0.2">
      <c r="A137" s="1171">
        <v>130</v>
      </c>
      <c r="B137" s="182" t="s">
        <v>207</v>
      </c>
      <c r="C137" s="182" t="s">
        <v>207</v>
      </c>
      <c r="D137" s="187" t="s">
        <v>222</v>
      </c>
      <c r="E137" s="187" t="s">
        <v>228</v>
      </c>
      <c r="F137" s="187" t="s">
        <v>232</v>
      </c>
      <c r="G137" s="182">
        <v>70</v>
      </c>
      <c r="H137" s="182">
        <v>70</v>
      </c>
      <c r="I137" s="182">
        <v>350</v>
      </c>
      <c r="J137" s="182">
        <v>1</v>
      </c>
      <c r="K137" s="182" t="s">
        <v>6</v>
      </c>
      <c r="L137" s="182">
        <f>J137*I137</f>
        <v>350</v>
      </c>
      <c r="M137" s="182">
        <f>(((6000-(INT(6000/I137)*I137))/(INT(6000/I137)))+I137)*J137</f>
        <v>352.94117647058823</v>
      </c>
      <c r="N137" s="184">
        <f t="shared" si="78"/>
        <v>8.4033613445378061E-3</v>
      </c>
      <c r="O137" s="642"/>
      <c r="P137" s="429">
        <f t="shared" ref="P137:P200" si="87">IF(E130=1500,410,IF(E130=2000,411,IF(E130=2500,412,413)))</f>
        <v>413</v>
      </c>
      <c r="Q137" s="430" t="s">
        <v>38</v>
      </c>
      <c r="R137" s="431" t="str">
        <f t="shared" ref="R137:R200" si="88">B137</f>
        <v>پایه متحرک</v>
      </c>
      <c r="S137" s="431">
        <v>1</v>
      </c>
      <c r="T137" s="623" t="s">
        <v>34</v>
      </c>
      <c r="U137" s="431" t="str">
        <f t="shared" ref="U137:U200" si="89">C137</f>
        <v>پایه متحرک</v>
      </c>
      <c r="V137" s="182">
        <v>1</v>
      </c>
      <c r="W137" s="623" t="s">
        <v>36</v>
      </c>
      <c r="X137" s="433" t="str">
        <f t="shared" ref="X137:X200" si="90">P137&amp;Q137&amp;T137&amp;W137</f>
        <v>413050103</v>
      </c>
      <c r="Y137" s="434" t="str">
        <f t="shared" ref="Y137:Y200" si="91">D137</f>
        <v>قوطی عرضی</v>
      </c>
      <c r="Z137" s="182" t="s">
        <v>366</v>
      </c>
      <c r="AA137" s="432">
        <f t="shared" ref="AA137:AA200" si="92">J137</f>
        <v>1</v>
      </c>
      <c r="AB137" s="664">
        <f t="shared" si="66"/>
        <v>1</v>
      </c>
      <c r="AC137" s="984">
        <f t="shared" si="67"/>
        <v>1</v>
      </c>
      <c r="AE137" s="799" t="str">
        <f t="shared" ref="AE137:AE200" si="93">X137</f>
        <v>413050103</v>
      </c>
      <c r="AF137" s="800" t="str">
        <f t="shared" ref="AF137:AF200" si="94">Y137</f>
        <v>قوطی عرضی</v>
      </c>
      <c r="AG137" s="432" t="str">
        <f t="shared" ref="AG137:AG200" si="95">E137</f>
        <v>Box</v>
      </c>
      <c r="AH137" s="432" t="str">
        <f t="shared" si="83"/>
        <v>A-36</v>
      </c>
      <c r="AI137" s="182" t="s">
        <v>446</v>
      </c>
      <c r="AJ137" s="862" t="s">
        <v>475</v>
      </c>
      <c r="AK137" s="901">
        <f t="shared" si="84"/>
        <v>44.117647058823529</v>
      </c>
      <c r="AL137" s="432" t="str">
        <f t="shared" si="61"/>
        <v>mm</v>
      </c>
      <c r="AM137" s="1066">
        <f t="shared" si="70"/>
        <v>44.117647058823529</v>
      </c>
      <c r="BD137" s="1120" t="str">
        <f t="shared" ref="BD137:BD200" si="96">Q137</f>
        <v>05</v>
      </c>
      <c r="BE137" s="1121" t="str">
        <f t="shared" ref="BE137:BF200" si="97">W137</f>
        <v>03</v>
      </c>
      <c r="BF137" s="1121" t="str">
        <f t="shared" si="97"/>
        <v>413050103</v>
      </c>
      <c r="BG137" s="1122" t="str">
        <f t="shared" si="85"/>
        <v>پایه متحرک</v>
      </c>
      <c r="BH137" s="1122">
        <f t="shared" si="85"/>
        <v>1</v>
      </c>
      <c r="BI137" s="1123">
        <f t="shared" si="86"/>
        <v>1</v>
      </c>
    </row>
    <row r="138" spans="1:61" ht="15" x14ac:dyDescent="0.2">
      <c r="A138" s="1171">
        <v>131</v>
      </c>
      <c r="B138" s="182" t="s">
        <v>207</v>
      </c>
      <c r="C138" s="182" t="s">
        <v>207</v>
      </c>
      <c r="D138" s="187" t="s">
        <v>223</v>
      </c>
      <c r="E138" s="187" t="s">
        <v>228</v>
      </c>
      <c r="F138" s="187" t="s">
        <v>232</v>
      </c>
      <c r="G138" s="182">
        <v>70</v>
      </c>
      <c r="H138" s="182">
        <v>70</v>
      </c>
      <c r="I138" s="182">
        <f>IF(E1=1500,1093,IF(E1=2000,1227,IF(E1=2500,1453,1692)))</f>
        <v>1227</v>
      </c>
      <c r="J138" s="182">
        <v>2</v>
      </c>
      <c r="K138" s="182" t="s">
        <v>6</v>
      </c>
      <c r="L138" s="182">
        <f t="shared" ref="L138:L139" si="98">J138*I138</f>
        <v>2454</v>
      </c>
      <c r="M138" s="182">
        <f t="shared" ref="M138:M139" si="99">(((6000-(INT(6000/I138)*I138))/(INT(6000/I138)))+I138)*J138</f>
        <v>3000</v>
      </c>
      <c r="N138" s="184">
        <f t="shared" si="78"/>
        <v>0.22249388753056235</v>
      </c>
      <c r="O138" s="642"/>
      <c r="P138" s="429">
        <f t="shared" si="87"/>
        <v>413</v>
      </c>
      <c r="Q138" s="430" t="s">
        <v>38</v>
      </c>
      <c r="R138" s="431" t="str">
        <f t="shared" si="88"/>
        <v>پایه متحرک</v>
      </c>
      <c r="S138" s="431">
        <v>1</v>
      </c>
      <c r="T138" s="623" t="s">
        <v>34</v>
      </c>
      <c r="U138" s="431" t="str">
        <f t="shared" si="89"/>
        <v>پایه متحرک</v>
      </c>
      <c r="V138" s="182">
        <v>1</v>
      </c>
      <c r="W138" s="623" t="s">
        <v>37</v>
      </c>
      <c r="X138" s="433" t="str">
        <f t="shared" si="90"/>
        <v>413050104</v>
      </c>
      <c r="Y138" s="434" t="str">
        <f t="shared" si="91"/>
        <v>قوطی طولی</v>
      </c>
      <c r="Z138" s="182" t="str">
        <f>"70x70,L="&amp;I138</f>
        <v>70x70,L=1227</v>
      </c>
      <c r="AA138" s="432">
        <f t="shared" si="92"/>
        <v>2</v>
      </c>
      <c r="AB138" s="664">
        <f t="shared" si="66"/>
        <v>2</v>
      </c>
      <c r="AC138" s="984">
        <f t="shared" si="67"/>
        <v>2</v>
      </c>
      <c r="AE138" s="799" t="str">
        <f t="shared" si="93"/>
        <v>413050104</v>
      </c>
      <c r="AF138" s="800" t="str">
        <f t="shared" si="94"/>
        <v>قوطی طولی</v>
      </c>
      <c r="AG138" s="432" t="str">
        <f t="shared" si="95"/>
        <v>Box</v>
      </c>
      <c r="AH138" s="432" t="str">
        <f t="shared" si="83"/>
        <v>A-36</v>
      </c>
      <c r="AI138" s="182" t="s">
        <v>446</v>
      </c>
      <c r="AJ138" s="862" t="s">
        <v>475</v>
      </c>
      <c r="AK138" s="901">
        <f t="shared" si="84"/>
        <v>375</v>
      </c>
      <c r="AL138" s="432" t="str">
        <f t="shared" ref="AL138:AL201" si="100">K138</f>
        <v>mm</v>
      </c>
      <c r="AM138" s="1066">
        <f t="shared" si="70"/>
        <v>750</v>
      </c>
      <c r="BD138" s="1120" t="str">
        <f t="shared" si="96"/>
        <v>05</v>
      </c>
      <c r="BE138" s="1121" t="str">
        <f t="shared" si="97"/>
        <v>04</v>
      </c>
      <c r="BF138" s="1121" t="str">
        <f t="shared" si="97"/>
        <v>413050104</v>
      </c>
      <c r="BG138" s="1122" t="str">
        <f t="shared" si="85"/>
        <v>پایه متحرک</v>
      </c>
      <c r="BH138" s="1122">
        <f t="shared" si="85"/>
        <v>1</v>
      </c>
      <c r="BI138" s="1123">
        <f t="shared" si="86"/>
        <v>1</v>
      </c>
    </row>
    <row r="139" spans="1:61" ht="15" x14ac:dyDescent="0.2">
      <c r="A139" s="1171">
        <v>132</v>
      </c>
      <c r="B139" s="182" t="s">
        <v>207</v>
      </c>
      <c r="C139" s="182" t="s">
        <v>207</v>
      </c>
      <c r="D139" s="187" t="s">
        <v>224</v>
      </c>
      <c r="E139" s="187" t="s">
        <v>228</v>
      </c>
      <c r="F139" s="187" t="s">
        <v>232</v>
      </c>
      <c r="G139" s="182">
        <v>70</v>
      </c>
      <c r="H139" s="182">
        <v>70</v>
      </c>
      <c r="I139" s="182">
        <f>IF(E1=1500,1014,IF(E1=2000,1177,IF(E1=2500,1440,1718)))</f>
        <v>1177</v>
      </c>
      <c r="J139" s="182">
        <v>1</v>
      </c>
      <c r="K139" s="182" t="s">
        <v>6</v>
      </c>
      <c r="L139" s="182">
        <f t="shared" si="98"/>
        <v>1177</v>
      </c>
      <c r="M139" s="182">
        <f t="shared" si="99"/>
        <v>1200</v>
      </c>
      <c r="N139" s="184">
        <f t="shared" si="78"/>
        <v>1.9541206457094309E-2</v>
      </c>
      <c r="O139" s="642"/>
      <c r="P139" s="429">
        <f t="shared" si="87"/>
        <v>413</v>
      </c>
      <c r="Q139" s="430" t="s">
        <v>38</v>
      </c>
      <c r="R139" s="431" t="str">
        <f t="shared" si="88"/>
        <v>پایه متحرک</v>
      </c>
      <c r="S139" s="431">
        <v>1</v>
      </c>
      <c r="T139" s="623" t="s">
        <v>34</v>
      </c>
      <c r="U139" s="431" t="str">
        <f t="shared" si="89"/>
        <v>پایه متحرک</v>
      </c>
      <c r="V139" s="182">
        <v>1</v>
      </c>
      <c r="W139" s="623" t="s">
        <v>38</v>
      </c>
      <c r="X139" s="433" t="str">
        <f t="shared" si="90"/>
        <v>413050105</v>
      </c>
      <c r="Y139" s="434" t="str">
        <f t="shared" si="91"/>
        <v>قوطی تقویتی</v>
      </c>
      <c r="Z139" s="182" t="str">
        <f>"70x70,L="&amp;I139</f>
        <v>70x70,L=1177</v>
      </c>
      <c r="AA139" s="432">
        <f t="shared" si="92"/>
        <v>1</v>
      </c>
      <c r="AB139" s="664">
        <f t="shared" si="66"/>
        <v>1</v>
      </c>
      <c r="AC139" s="984">
        <f t="shared" si="67"/>
        <v>1</v>
      </c>
      <c r="AE139" s="799" t="str">
        <f t="shared" si="93"/>
        <v>413050105</v>
      </c>
      <c r="AF139" s="800" t="str">
        <f t="shared" si="94"/>
        <v>قوطی تقویتی</v>
      </c>
      <c r="AG139" s="432" t="str">
        <f t="shared" si="95"/>
        <v>Box</v>
      </c>
      <c r="AH139" s="432" t="str">
        <f t="shared" si="83"/>
        <v>A-36</v>
      </c>
      <c r="AI139" s="182" t="s">
        <v>446</v>
      </c>
      <c r="AJ139" s="862" t="s">
        <v>475</v>
      </c>
      <c r="AK139" s="901">
        <f t="shared" si="84"/>
        <v>150</v>
      </c>
      <c r="AL139" s="432" t="str">
        <f t="shared" si="100"/>
        <v>mm</v>
      </c>
      <c r="AM139" s="1066">
        <f t="shared" si="70"/>
        <v>150</v>
      </c>
      <c r="BD139" s="1120" t="str">
        <f t="shared" si="96"/>
        <v>05</v>
      </c>
      <c r="BE139" s="1121" t="str">
        <f t="shared" si="97"/>
        <v>05</v>
      </c>
      <c r="BF139" s="1121" t="str">
        <f t="shared" si="97"/>
        <v>413050105</v>
      </c>
      <c r="BG139" s="1122" t="str">
        <f t="shared" si="85"/>
        <v>پایه متحرک</v>
      </c>
      <c r="BH139" s="1122">
        <f t="shared" si="85"/>
        <v>1</v>
      </c>
      <c r="BI139" s="1123">
        <f t="shared" si="86"/>
        <v>1</v>
      </c>
    </row>
    <row r="140" spans="1:61" ht="15" x14ac:dyDescent="0.2">
      <c r="A140" s="1171">
        <v>133</v>
      </c>
      <c r="B140" s="182" t="s">
        <v>207</v>
      </c>
      <c r="C140" s="182" t="s">
        <v>207</v>
      </c>
      <c r="D140" s="187" t="s">
        <v>225</v>
      </c>
      <c r="E140" s="187" t="s">
        <v>3</v>
      </c>
      <c r="F140" s="187" t="s">
        <v>80</v>
      </c>
      <c r="G140" s="182">
        <v>3</v>
      </c>
      <c r="H140" s="182">
        <v>270</v>
      </c>
      <c r="I140" s="266">
        <f>IF(E1=1500,400,IF(E1=2000,500,IF(E1=2500,600,700)))</f>
        <v>500</v>
      </c>
      <c r="J140" s="182">
        <v>1</v>
      </c>
      <c r="K140" s="182" t="s">
        <v>29</v>
      </c>
      <c r="L140" s="183">
        <f t="shared" ref="L140:L143" si="101">G140*H140*I140*J140*7.85/1000000</f>
        <v>3.1792500000000001</v>
      </c>
      <c r="M140" s="183">
        <f>((((1250-(INT(1250/H140)*H140))/(INT(1250/H140)))+H140)*G140*I140*J140*7.85)/1000000</f>
        <v>3.6796875</v>
      </c>
      <c r="N140" s="184">
        <f t="shared" si="78"/>
        <v>0.15740740740740736</v>
      </c>
      <c r="O140" s="642"/>
      <c r="P140" s="429">
        <f t="shared" si="87"/>
        <v>413</v>
      </c>
      <c r="Q140" s="430" t="s">
        <v>38</v>
      </c>
      <c r="R140" s="431" t="str">
        <f t="shared" si="88"/>
        <v>پایه متحرک</v>
      </c>
      <c r="S140" s="431">
        <v>1</v>
      </c>
      <c r="T140" s="623" t="s">
        <v>34</v>
      </c>
      <c r="U140" s="431" t="str">
        <f t="shared" si="89"/>
        <v>پایه متحرک</v>
      </c>
      <c r="V140" s="182">
        <v>1</v>
      </c>
      <c r="W140" s="623" t="s">
        <v>39</v>
      </c>
      <c r="X140" s="433" t="str">
        <f t="shared" si="90"/>
        <v>413050106</v>
      </c>
      <c r="Y140" s="434" t="str">
        <f t="shared" si="91"/>
        <v>صفحه زیر الکترو موتور</v>
      </c>
      <c r="Z140" s="182" t="str">
        <f>"3x270x"&amp;I140</f>
        <v>3x270x500</v>
      </c>
      <c r="AA140" s="432">
        <f t="shared" si="92"/>
        <v>1</v>
      </c>
      <c r="AB140" s="664">
        <f t="shared" si="66"/>
        <v>1</v>
      </c>
      <c r="AC140" s="984">
        <f t="shared" si="67"/>
        <v>1</v>
      </c>
      <c r="AE140" s="799" t="str">
        <f t="shared" si="93"/>
        <v>413050106</v>
      </c>
      <c r="AF140" s="800" t="str">
        <f t="shared" si="94"/>
        <v>صفحه زیر الکترو موتور</v>
      </c>
      <c r="AG140" s="432" t="str">
        <f t="shared" si="95"/>
        <v>Plate</v>
      </c>
      <c r="AH140" s="432" t="str">
        <f t="shared" si="83"/>
        <v>St-37</v>
      </c>
      <c r="AI140" s="182" t="s">
        <v>447</v>
      </c>
      <c r="AJ140" s="862" t="s">
        <v>482</v>
      </c>
      <c r="AK140" s="901">
        <f t="shared" si="84"/>
        <v>0.4599609375</v>
      </c>
      <c r="AL140" s="432" t="str">
        <f t="shared" si="100"/>
        <v>Kg</v>
      </c>
      <c r="AM140" s="1066">
        <f t="shared" si="70"/>
        <v>0.4599609375</v>
      </c>
      <c r="BD140" s="1120" t="str">
        <f t="shared" si="96"/>
        <v>05</v>
      </c>
      <c r="BE140" s="1121" t="str">
        <f t="shared" si="97"/>
        <v>06</v>
      </c>
      <c r="BF140" s="1121" t="str">
        <f t="shared" si="97"/>
        <v>413050106</v>
      </c>
      <c r="BG140" s="1122" t="str">
        <f t="shared" si="85"/>
        <v>پایه متحرک</v>
      </c>
      <c r="BH140" s="1122">
        <f t="shared" si="85"/>
        <v>1</v>
      </c>
      <c r="BI140" s="1123">
        <f t="shared" si="86"/>
        <v>1</v>
      </c>
    </row>
    <row r="141" spans="1:61" ht="15" x14ac:dyDescent="0.2">
      <c r="A141" s="1171">
        <v>134</v>
      </c>
      <c r="B141" s="182" t="s">
        <v>207</v>
      </c>
      <c r="C141" s="182" t="s">
        <v>207</v>
      </c>
      <c r="D141" s="187" t="s">
        <v>226</v>
      </c>
      <c r="E141" s="187" t="s">
        <v>3</v>
      </c>
      <c r="F141" s="187" t="s">
        <v>80</v>
      </c>
      <c r="G141" s="182">
        <v>3</v>
      </c>
      <c r="H141" s="182">
        <v>300</v>
      </c>
      <c r="I141" s="182">
        <v>150</v>
      </c>
      <c r="J141" s="182">
        <v>1</v>
      </c>
      <c r="K141" s="182" t="s">
        <v>29</v>
      </c>
      <c r="L141" s="183">
        <f t="shared" si="101"/>
        <v>1.05975</v>
      </c>
      <c r="M141" s="183">
        <f>((((1250-(INT(1250/H141)*H141))/(INT(1250/H141)))+H141)*G141*I141*J141*7.85)/1000000</f>
        <v>1.1039062500000001</v>
      </c>
      <c r="N141" s="184">
        <f t="shared" si="78"/>
        <v>4.1666666666666782E-2</v>
      </c>
      <c r="O141" s="642"/>
      <c r="P141" s="429">
        <f t="shared" si="87"/>
        <v>413</v>
      </c>
      <c r="Q141" s="430" t="s">
        <v>38</v>
      </c>
      <c r="R141" s="431" t="str">
        <f t="shared" si="88"/>
        <v>پایه متحرک</v>
      </c>
      <c r="S141" s="431">
        <v>1</v>
      </c>
      <c r="T141" s="623" t="s">
        <v>34</v>
      </c>
      <c r="U141" s="431" t="str">
        <f t="shared" si="89"/>
        <v>پایه متحرک</v>
      </c>
      <c r="V141" s="182">
        <v>1</v>
      </c>
      <c r="W141" s="623" t="s">
        <v>40</v>
      </c>
      <c r="X141" s="433" t="str">
        <f t="shared" si="90"/>
        <v>413050107</v>
      </c>
      <c r="Y141" s="434" t="str">
        <f t="shared" si="91"/>
        <v>نگهدارنده صفحه زیر 
الکترو موتور</v>
      </c>
      <c r="Z141" s="182" t="s">
        <v>367</v>
      </c>
      <c r="AA141" s="432">
        <f t="shared" si="92"/>
        <v>1</v>
      </c>
      <c r="AB141" s="664">
        <f t="shared" si="66"/>
        <v>1</v>
      </c>
      <c r="AC141" s="984">
        <f t="shared" si="67"/>
        <v>1</v>
      </c>
      <c r="AE141" s="799" t="str">
        <f t="shared" si="93"/>
        <v>413050107</v>
      </c>
      <c r="AF141" s="800" t="str">
        <f t="shared" si="94"/>
        <v>نگهدارنده صفحه زیر 
الکترو موتور</v>
      </c>
      <c r="AG141" s="432" t="str">
        <f t="shared" si="95"/>
        <v>Plate</v>
      </c>
      <c r="AH141" s="432" t="str">
        <f t="shared" si="83"/>
        <v>St-37</v>
      </c>
      <c r="AI141" s="182" t="s">
        <v>447</v>
      </c>
      <c r="AJ141" s="862" t="s">
        <v>482</v>
      </c>
      <c r="AK141" s="901">
        <f t="shared" si="84"/>
        <v>1.1039062500000001</v>
      </c>
      <c r="AL141" s="432" t="str">
        <f t="shared" si="100"/>
        <v>Kg</v>
      </c>
      <c r="AM141" s="1066">
        <f t="shared" si="70"/>
        <v>1.1039062500000001</v>
      </c>
      <c r="BD141" s="1120" t="str">
        <f t="shared" si="96"/>
        <v>05</v>
      </c>
      <c r="BE141" s="1121" t="str">
        <f t="shared" si="97"/>
        <v>07</v>
      </c>
      <c r="BF141" s="1121" t="str">
        <f t="shared" si="97"/>
        <v>413050107</v>
      </c>
      <c r="BG141" s="1122" t="str">
        <f t="shared" si="85"/>
        <v>پایه متحرک</v>
      </c>
      <c r="BH141" s="1122">
        <f t="shared" si="85"/>
        <v>1</v>
      </c>
      <c r="BI141" s="1123">
        <f t="shared" si="86"/>
        <v>1</v>
      </c>
    </row>
    <row r="142" spans="1:61" ht="15" x14ac:dyDescent="0.2">
      <c r="A142" s="1171">
        <v>135</v>
      </c>
      <c r="B142" s="182" t="s">
        <v>207</v>
      </c>
      <c r="C142" s="182" t="s">
        <v>207</v>
      </c>
      <c r="D142" s="187" t="s">
        <v>227</v>
      </c>
      <c r="E142" s="187" t="s">
        <v>3</v>
      </c>
      <c r="F142" s="187" t="s">
        <v>80</v>
      </c>
      <c r="G142" s="182">
        <v>4</v>
      </c>
      <c r="H142" s="182">
        <v>70</v>
      </c>
      <c r="I142" s="182">
        <v>150</v>
      </c>
      <c r="J142" s="182">
        <v>1</v>
      </c>
      <c r="K142" s="182" t="s">
        <v>29</v>
      </c>
      <c r="L142" s="183">
        <f t="shared" si="101"/>
        <v>0.32969999999999999</v>
      </c>
      <c r="M142" s="183">
        <f>((((1250-(INT(1250/H142)*H142))/(INT(1250/H142)))+H142)*G142*I142*J142*7.85)/1000000</f>
        <v>0.3463235294117647</v>
      </c>
      <c r="N142" s="184">
        <f t="shared" si="78"/>
        <v>5.0420168067226885E-2</v>
      </c>
      <c r="O142" s="642"/>
      <c r="P142" s="429">
        <f t="shared" si="87"/>
        <v>413</v>
      </c>
      <c r="Q142" s="430" t="s">
        <v>38</v>
      </c>
      <c r="R142" s="431" t="str">
        <f t="shared" si="88"/>
        <v>پایه متحرک</v>
      </c>
      <c r="S142" s="431">
        <v>1</v>
      </c>
      <c r="T142" s="623" t="s">
        <v>34</v>
      </c>
      <c r="U142" s="431" t="str">
        <f t="shared" si="89"/>
        <v>پایه متحرک</v>
      </c>
      <c r="V142" s="182">
        <v>1</v>
      </c>
      <c r="W142" s="623" t="s">
        <v>41</v>
      </c>
      <c r="X142" s="433" t="str">
        <f t="shared" si="90"/>
        <v>413050108</v>
      </c>
      <c r="Y142" s="434" t="str">
        <f t="shared" si="91"/>
        <v>رابط قوطی عرضی و تقویتی</v>
      </c>
      <c r="Z142" s="182" t="s">
        <v>368</v>
      </c>
      <c r="AA142" s="432">
        <f t="shared" si="92"/>
        <v>1</v>
      </c>
      <c r="AB142" s="664">
        <f t="shared" si="66"/>
        <v>1</v>
      </c>
      <c r="AC142" s="984">
        <f t="shared" si="67"/>
        <v>1</v>
      </c>
      <c r="AE142" s="799" t="str">
        <f t="shared" si="93"/>
        <v>413050108</v>
      </c>
      <c r="AF142" s="800" t="str">
        <f t="shared" si="94"/>
        <v>رابط قوطی عرضی و تقویتی</v>
      </c>
      <c r="AG142" s="432" t="str">
        <f t="shared" si="95"/>
        <v>Plate</v>
      </c>
      <c r="AH142" s="432" t="str">
        <f t="shared" si="83"/>
        <v>St-37</v>
      </c>
      <c r="AI142" s="182" t="s">
        <v>413</v>
      </c>
      <c r="AJ142" s="862" t="s">
        <v>464</v>
      </c>
      <c r="AK142" s="901">
        <f t="shared" si="84"/>
        <v>8.6580882352941174E-2</v>
      </c>
      <c r="AL142" s="432" t="str">
        <f t="shared" si="100"/>
        <v>Kg</v>
      </c>
      <c r="AM142" s="1066">
        <f t="shared" si="70"/>
        <v>8.6580882352941174E-2</v>
      </c>
      <c r="BD142" s="1120" t="str">
        <f t="shared" si="96"/>
        <v>05</v>
      </c>
      <c r="BE142" s="1121" t="str">
        <f t="shared" si="97"/>
        <v>08</v>
      </c>
      <c r="BF142" s="1121" t="str">
        <f t="shared" si="97"/>
        <v>413050108</v>
      </c>
      <c r="BG142" s="1122" t="str">
        <f t="shared" si="85"/>
        <v>پایه متحرک</v>
      </c>
      <c r="BH142" s="1122">
        <f t="shared" si="85"/>
        <v>1</v>
      </c>
      <c r="BI142" s="1123">
        <f t="shared" si="86"/>
        <v>1</v>
      </c>
    </row>
    <row r="143" spans="1:61" ht="15" x14ac:dyDescent="0.2">
      <c r="A143" s="1171">
        <v>136</v>
      </c>
      <c r="B143" s="182" t="s">
        <v>207</v>
      </c>
      <c r="C143" s="182" t="s">
        <v>207</v>
      </c>
      <c r="D143" s="187" t="s">
        <v>208</v>
      </c>
      <c r="E143" s="187" t="s">
        <v>3</v>
      </c>
      <c r="F143" s="187" t="s">
        <v>80</v>
      </c>
      <c r="G143" s="182">
        <v>4</v>
      </c>
      <c r="H143" s="182">
        <v>70</v>
      </c>
      <c r="I143" s="182">
        <v>70</v>
      </c>
      <c r="J143" s="182">
        <v>1</v>
      </c>
      <c r="K143" s="182" t="s">
        <v>29</v>
      </c>
      <c r="L143" s="183">
        <f t="shared" si="101"/>
        <v>0.15386</v>
      </c>
      <c r="M143" s="183">
        <f>((((1250-(INT(1250/H143)*H143))/(INT(1250/H143)))+H143)*G143*I143*J143*7.85)/1000000</f>
        <v>0.16161764705882353</v>
      </c>
      <c r="N143" s="184">
        <f t="shared" si="78"/>
        <v>5.0420168067226934E-2</v>
      </c>
      <c r="O143" s="642"/>
      <c r="P143" s="429">
        <f t="shared" si="87"/>
        <v>413</v>
      </c>
      <c r="Q143" s="430" t="s">
        <v>38</v>
      </c>
      <c r="R143" s="431" t="str">
        <f t="shared" si="88"/>
        <v>پایه متحرک</v>
      </c>
      <c r="S143" s="431">
        <v>1</v>
      </c>
      <c r="T143" s="623" t="s">
        <v>34</v>
      </c>
      <c r="U143" s="431" t="str">
        <f t="shared" si="89"/>
        <v>پایه متحرک</v>
      </c>
      <c r="V143" s="182">
        <v>1</v>
      </c>
      <c r="W143" s="623" t="s">
        <v>42</v>
      </c>
      <c r="X143" s="433" t="str">
        <f t="shared" si="90"/>
        <v>413050109</v>
      </c>
      <c r="Y143" s="434" t="str">
        <f t="shared" si="91"/>
        <v>درپوش قوطی تقویتی</v>
      </c>
      <c r="Z143" s="182" t="s">
        <v>369</v>
      </c>
      <c r="AA143" s="432">
        <f t="shared" si="92"/>
        <v>1</v>
      </c>
      <c r="AB143" s="664">
        <f t="shared" si="66"/>
        <v>1</v>
      </c>
      <c r="AC143" s="984">
        <f t="shared" si="67"/>
        <v>1</v>
      </c>
      <c r="AE143" s="799" t="str">
        <f t="shared" si="93"/>
        <v>413050109</v>
      </c>
      <c r="AF143" s="800" t="str">
        <f t="shared" si="94"/>
        <v>درپوش قوطی تقویتی</v>
      </c>
      <c r="AG143" s="432" t="str">
        <f t="shared" si="95"/>
        <v>Plate</v>
      </c>
      <c r="AH143" s="432" t="str">
        <f t="shared" si="83"/>
        <v>St-37</v>
      </c>
      <c r="AI143" s="182" t="s">
        <v>413</v>
      </c>
      <c r="AJ143" s="862" t="s">
        <v>464</v>
      </c>
      <c r="AK143" s="901">
        <f t="shared" si="84"/>
        <v>4.0404411764705883E-2</v>
      </c>
      <c r="AL143" s="432" t="str">
        <f t="shared" si="100"/>
        <v>Kg</v>
      </c>
      <c r="AM143" s="1066">
        <f t="shared" si="70"/>
        <v>4.0404411764705883E-2</v>
      </c>
      <c r="BD143" s="1120" t="str">
        <f t="shared" si="96"/>
        <v>05</v>
      </c>
      <c r="BE143" s="1121" t="str">
        <f t="shared" si="97"/>
        <v>09</v>
      </c>
      <c r="BF143" s="1121" t="str">
        <f t="shared" si="97"/>
        <v>413050109</v>
      </c>
      <c r="BG143" s="1122" t="str">
        <f t="shared" si="85"/>
        <v>پایه متحرک</v>
      </c>
      <c r="BH143" s="1122">
        <f t="shared" si="85"/>
        <v>1</v>
      </c>
      <c r="BI143" s="1123">
        <f t="shared" si="86"/>
        <v>1</v>
      </c>
    </row>
    <row r="144" spans="1:61" ht="15" x14ac:dyDescent="0.2">
      <c r="A144" s="1171">
        <v>137</v>
      </c>
      <c r="B144" s="182" t="s">
        <v>207</v>
      </c>
      <c r="C144" s="182" t="s">
        <v>207</v>
      </c>
      <c r="D144" s="187" t="s">
        <v>209</v>
      </c>
      <c r="E144" s="187" t="s">
        <v>229</v>
      </c>
      <c r="F144" s="187" t="s">
        <v>232</v>
      </c>
      <c r="G144" s="182">
        <v>40</v>
      </c>
      <c r="H144" s="182">
        <v>40</v>
      </c>
      <c r="I144" s="266">
        <f>IF(E1=1500,490,IF(E1=2000,490,IF(E1=2500,580,580)))</f>
        <v>490</v>
      </c>
      <c r="J144" s="182">
        <v>1</v>
      </c>
      <c r="K144" s="182" t="s">
        <v>29</v>
      </c>
      <c r="L144" s="183">
        <f>G144*73*I144*7.85*J144/1000000</f>
        <v>11.231780000000001</v>
      </c>
      <c r="M144" s="183">
        <f>(((6000-(INT(6000/I144)*I144))/(INT(6000/I144)))+I144)*73*G144*J144*7.85/1000000</f>
        <v>11.461</v>
      </c>
      <c r="N144" s="184">
        <f t="shared" si="78"/>
        <v>2.04081632653061E-2</v>
      </c>
      <c r="O144" s="642"/>
      <c r="P144" s="429">
        <f t="shared" si="87"/>
        <v>413</v>
      </c>
      <c r="Q144" s="430" t="s">
        <v>38</v>
      </c>
      <c r="R144" s="431" t="str">
        <f t="shared" si="88"/>
        <v>پایه متحرک</v>
      </c>
      <c r="S144" s="431">
        <v>1</v>
      </c>
      <c r="T144" s="623" t="s">
        <v>34</v>
      </c>
      <c r="U144" s="431" t="str">
        <f t="shared" si="89"/>
        <v>پایه متحرک</v>
      </c>
      <c r="V144" s="182">
        <v>1</v>
      </c>
      <c r="W144" s="623" t="s">
        <v>48</v>
      </c>
      <c r="X144" s="433" t="str">
        <f t="shared" si="90"/>
        <v>413050110</v>
      </c>
      <c r="Y144" s="434" t="str">
        <f t="shared" si="91"/>
        <v>نبشی هرزگرد</v>
      </c>
      <c r="Z144" s="182" t="str">
        <f>"40x40,L="&amp;I144</f>
        <v>40x40,L=490</v>
      </c>
      <c r="AA144" s="432">
        <f t="shared" si="92"/>
        <v>1</v>
      </c>
      <c r="AB144" s="664">
        <f t="shared" si="66"/>
        <v>1</v>
      </c>
      <c r="AC144" s="984">
        <f t="shared" si="67"/>
        <v>1</v>
      </c>
      <c r="AE144" s="799" t="str">
        <f t="shared" si="93"/>
        <v>413050110</v>
      </c>
      <c r="AF144" s="800" t="str">
        <f t="shared" si="94"/>
        <v>نبشی هرزگرد</v>
      </c>
      <c r="AG144" s="432" t="str">
        <f t="shared" si="95"/>
        <v>Angle 40x40</v>
      </c>
      <c r="AH144" s="432" t="str">
        <f t="shared" si="83"/>
        <v>A-36</v>
      </c>
      <c r="AI144" s="182" t="s">
        <v>448</v>
      </c>
      <c r="AJ144" s="862" t="s">
        <v>476</v>
      </c>
      <c r="AK144" s="901">
        <f t="shared" si="84"/>
        <v>2.8652500000000001</v>
      </c>
      <c r="AL144" s="432" t="str">
        <f t="shared" si="100"/>
        <v>Kg</v>
      </c>
      <c r="AM144" s="1066">
        <f t="shared" si="70"/>
        <v>2.8652500000000001</v>
      </c>
      <c r="BD144" s="1120" t="str">
        <f t="shared" si="96"/>
        <v>05</v>
      </c>
      <c r="BE144" s="1121" t="str">
        <f t="shared" si="97"/>
        <v>10</v>
      </c>
      <c r="BF144" s="1121" t="str">
        <f t="shared" si="97"/>
        <v>413050110</v>
      </c>
      <c r="BG144" s="1122" t="str">
        <f t="shared" si="85"/>
        <v>پایه متحرک</v>
      </c>
      <c r="BH144" s="1122">
        <f t="shared" si="85"/>
        <v>1</v>
      </c>
      <c r="BI144" s="1123">
        <f t="shared" si="86"/>
        <v>1</v>
      </c>
    </row>
    <row r="145" spans="1:61" ht="15" x14ac:dyDescent="0.2">
      <c r="A145" s="1171">
        <v>138</v>
      </c>
      <c r="B145" s="182" t="s">
        <v>207</v>
      </c>
      <c r="C145" s="182" t="s">
        <v>207</v>
      </c>
      <c r="D145" s="187" t="s">
        <v>210</v>
      </c>
      <c r="E145" s="187" t="s">
        <v>229</v>
      </c>
      <c r="F145" s="187" t="s">
        <v>232</v>
      </c>
      <c r="G145" s="182">
        <v>40</v>
      </c>
      <c r="H145" s="182">
        <v>40</v>
      </c>
      <c r="I145" s="266">
        <f>IF(E1=1500,595,IF(E1=2000,595,IF(E1=2500,695,695)))</f>
        <v>595</v>
      </c>
      <c r="J145" s="182">
        <v>1</v>
      </c>
      <c r="K145" s="182" t="s">
        <v>29</v>
      </c>
      <c r="L145" s="183">
        <f>G145*73*I145*7.85*J145/1000000</f>
        <v>13.638590000000001</v>
      </c>
      <c r="M145" s="183">
        <f>(((6000-(INT(6000/I145)*I145))/(INT(6000/I145)))+I145)*73*G145*J145*7.85/1000000</f>
        <v>13.7532</v>
      </c>
      <c r="N145" s="184">
        <f t="shared" si="78"/>
        <v>8.4033613445377402E-3</v>
      </c>
      <c r="O145" s="642"/>
      <c r="P145" s="429">
        <f t="shared" si="87"/>
        <v>413</v>
      </c>
      <c r="Q145" s="430" t="s">
        <v>38</v>
      </c>
      <c r="R145" s="431" t="str">
        <f t="shared" si="88"/>
        <v>پایه متحرک</v>
      </c>
      <c r="S145" s="431">
        <v>1</v>
      </c>
      <c r="T145" s="623" t="s">
        <v>34</v>
      </c>
      <c r="U145" s="431" t="str">
        <f t="shared" si="89"/>
        <v>پایه متحرک</v>
      </c>
      <c r="V145" s="182">
        <v>1</v>
      </c>
      <c r="W145" s="623" t="s">
        <v>49</v>
      </c>
      <c r="X145" s="433" t="str">
        <f t="shared" si="90"/>
        <v>413050111</v>
      </c>
      <c r="Y145" s="434" t="str">
        <f t="shared" si="91"/>
        <v>نبشی نگهدارنده صفحه موتور</v>
      </c>
      <c r="Z145" s="182" t="str">
        <f>"40x40,L="&amp;I145</f>
        <v>40x40,L=595</v>
      </c>
      <c r="AA145" s="432">
        <f t="shared" si="92"/>
        <v>1</v>
      </c>
      <c r="AB145" s="664">
        <f t="shared" si="66"/>
        <v>1</v>
      </c>
      <c r="AC145" s="984">
        <f t="shared" si="67"/>
        <v>1</v>
      </c>
      <c r="AE145" s="799" t="str">
        <f t="shared" si="93"/>
        <v>413050111</v>
      </c>
      <c r="AF145" s="800" t="str">
        <f t="shared" si="94"/>
        <v>نبشی نگهدارنده صفحه موتور</v>
      </c>
      <c r="AG145" s="432" t="str">
        <f t="shared" si="95"/>
        <v>Angle 40x40</v>
      </c>
      <c r="AH145" s="432" t="str">
        <f t="shared" si="83"/>
        <v>A-36</v>
      </c>
      <c r="AI145" s="182" t="s">
        <v>448</v>
      </c>
      <c r="AJ145" s="862" t="s">
        <v>476</v>
      </c>
      <c r="AK145" s="901">
        <f t="shared" si="84"/>
        <v>3.4382999999999999</v>
      </c>
      <c r="AL145" s="432" t="str">
        <f t="shared" si="100"/>
        <v>Kg</v>
      </c>
      <c r="AM145" s="1066">
        <f t="shared" si="70"/>
        <v>3.4382999999999999</v>
      </c>
      <c r="BD145" s="1120" t="str">
        <f t="shared" si="96"/>
        <v>05</v>
      </c>
      <c r="BE145" s="1121" t="str">
        <f t="shared" si="97"/>
        <v>11</v>
      </c>
      <c r="BF145" s="1121" t="str">
        <f t="shared" si="97"/>
        <v>413050111</v>
      </c>
      <c r="BG145" s="1122" t="str">
        <f t="shared" si="85"/>
        <v>پایه متحرک</v>
      </c>
      <c r="BH145" s="1122">
        <f t="shared" si="85"/>
        <v>1</v>
      </c>
      <c r="BI145" s="1123">
        <f t="shared" si="86"/>
        <v>1</v>
      </c>
    </row>
    <row r="146" spans="1:61" ht="15" x14ac:dyDescent="0.2">
      <c r="A146" s="1171">
        <v>139</v>
      </c>
      <c r="B146" s="182" t="s">
        <v>207</v>
      </c>
      <c r="C146" s="182" t="s">
        <v>207</v>
      </c>
      <c r="D146" s="187" t="s">
        <v>211</v>
      </c>
      <c r="E146" s="187" t="s">
        <v>231</v>
      </c>
      <c r="F146" s="187" t="s">
        <v>232</v>
      </c>
      <c r="G146" s="187" t="s">
        <v>233</v>
      </c>
      <c r="H146" s="182">
        <v>14</v>
      </c>
      <c r="I146" s="182">
        <v>303</v>
      </c>
      <c r="J146" s="182">
        <v>1</v>
      </c>
      <c r="K146" s="182" t="s">
        <v>6</v>
      </c>
      <c r="L146" s="182">
        <f>J146*I146</f>
        <v>303</v>
      </c>
      <c r="M146" s="182">
        <f>(((6000-(INT(6000/I146)*I146))/(INT(6000/I146)))+I146)*J146</f>
        <v>315.78947368421052</v>
      </c>
      <c r="N146" s="184">
        <f t="shared" si="78"/>
        <v>4.2209484106305345E-2</v>
      </c>
      <c r="O146" s="642"/>
      <c r="P146" s="429">
        <f t="shared" si="87"/>
        <v>413</v>
      </c>
      <c r="Q146" s="430" t="s">
        <v>38</v>
      </c>
      <c r="R146" s="431" t="str">
        <f t="shared" si="88"/>
        <v>پایه متحرک</v>
      </c>
      <c r="S146" s="431">
        <v>1</v>
      </c>
      <c r="T146" s="623" t="s">
        <v>34</v>
      </c>
      <c r="U146" s="431" t="str">
        <f t="shared" si="89"/>
        <v>پایه متحرک</v>
      </c>
      <c r="V146" s="182">
        <v>1</v>
      </c>
      <c r="W146" s="623" t="s">
        <v>50</v>
      </c>
      <c r="X146" s="433" t="str">
        <f t="shared" si="90"/>
        <v>413050112</v>
      </c>
      <c r="Y146" s="434" t="str">
        <f t="shared" si="91"/>
        <v>میل پیچ</v>
      </c>
      <c r="Z146" s="182" t="s">
        <v>370</v>
      </c>
      <c r="AA146" s="432">
        <f t="shared" si="92"/>
        <v>1</v>
      </c>
      <c r="AB146" s="664">
        <f t="shared" si="66"/>
        <v>1</v>
      </c>
      <c r="AC146" s="984">
        <f t="shared" si="67"/>
        <v>1</v>
      </c>
      <c r="AE146" s="799" t="str">
        <f t="shared" si="93"/>
        <v>413050112</v>
      </c>
      <c r="AF146" s="800" t="str">
        <f t="shared" si="94"/>
        <v>میل پیچ</v>
      </c>
      <c r="AG146" s="432" t="str">
        <f t="shared" si="95"/>
        <v>Screw</v>
      </c>
      <c r="AH146" s="432" t="str">
        <f>F146&amp;"-"&amp;G146</f>
        <v>A-36-Ø14x303</v>
      </c>
      <c r="AI146" s="182" t="s">
        <v>449</v>
      </c>
      <c r="AJ146" s="862" t="s">
        <v>477</v>
      </c>
      <c r="AK146" s="901">
        <f t="shared" si="84"/>
        <v>315.78947368421052</v>
      </c>
      <c r="AL146" s="432" t="str">
        <f t="shared" si="100"/>
        <v>mm</v>
      </c>
      <c r="AM146" s="1066">
        <f t="shared" si="70"/>
        <v>315.78947368421052</v>
      </c>
      <c r="BD146" s="1120" t="str">
        <f t="shared" si="96"/>
        <v>05</v>
      </c>
      <c r="BE146" s="1121" t="str">
        <f t="shared" si="97"/>
        <v>12</v>
      </c>
      <c r="BF146" s="1121" t="str">
        <f t="shared" si="97"/>
        <v>413050112</v>
      </c>
      <c r="BG146" s="1122" t="str">
        <f t="shared" si="85"/>
        <v>پایه متحرک</v>
      </c>
      <c r="BH146" s="1122">
        <f t="shared" si="85"/>
        <v>1</v>
      </c>
      <c r="BI146" s="1123">
        <f t="shared" si="86"/>
        <v>1</v>
      </c>
    </row>
    <row r="147" spans="1:61" ht="15" x14ac:dyDescent="0.2">
      <c r="A147" s="1171">
        <v>140</v>
      </c>
      <c r="B147" s="182" t="s">
        <v>207</v>
      </c>
      <c r="C147" s="182" t="s">
        <v>207</v>
      </c>
      <c r="D147" s="187" t="s">
        <v>212</v>
      </c>
      <c r="E147" s="187" t="s">
        <v>3</v>
      </c>
      <c r="F147" s="187" t="s">
        <v>80</v>
      </c>
      <c r="G147" s="182">
        <v>8</v>
      </c>
      <c r="H147" s="182">
        <v>40</v>
      </c>
      <c r="I147" s="182">
        <v>50</v>
      </c>
      <c r="J147" s="182">
        <v>1</v>
      </c>
      <c r="K147" s="182" t="s">
        <v>29</v>
      </c>
      <c r="L147" s="183">
        <f>G147*H147*I147*J147*7.85/1000000</f>
        <v>0.12559999999999999</v>
      </c>
      <c r="M147" s="183">
        <f>((((1500-(INT(1500/H147)*H147))/(INT(1500/H147)))+H147)*G147*I147*J147*7.85)/1000000</f>
        <v>0.1272972972972973</v>
      </c>
      <c r="N147" s="184">
        <f t="shared" si="78"/>
        <v>1.3513513513513632E-2</v>
      </c>
      <c r="O147" s="642"/>
      <c r="P147" s="429">
        <f t="shared" si="87"/>
        <v>413</v>
      </c>
      <c r="Q147" s="430" t="s">
        <v>38</v>
      </c>
      <c r="R147" s="431" t="str">
        <f t="shared" si="88"/>
        <v>پایه متحرک</v>
      </c>
      <c r="S147" s="431">
        <v>1</v>
      </c>
      <c r="T147" s="623" t="s">
        <v>34</v>
      </c>
      <c r="U147" s="431" t="str">
        <f t="shared" si="89"/>
        <v>پایه متحرک</v>
      </c>
      <c r="V147" s="182">
        <v>1</v>
      </c>
      <c r="W147" s="623" t="s">
        <v>326</v>
      </c>
      <c r="X147" s="433" t="str">
        <f t="shared" si="90"/>
        <v>413050113</v>
      </c>
      <c r="Y147" s="434" t="str">
        <f t="shared" si="91"/>
        <v>صفحه نگهدارنده میل پیچ</v>
      </c>
      <c r="Z147" s="182" t="s">
        <v>371</v>
      </c>
      <c r="AA147" s="432">
        <f t="shared" si="92"/>
        <v>1</v>
      </c>
      <c r="AB147" s="664">
        <f t="shared" si="66"/>
        <v>1</v>
      </c>
      <c r="AC147" s="984">
        <f t="shared" si="67"/>
        <v>1</v>
      </c>
      <c r="AE147" s="799" t="str">
        <f t="shared" si="93"/>
        <v>413050113</v>
      </c>
      <c r="AF147" s="800" t="str">
        <f t="shared" si="94"/>
        <v>صفحه نگهدارنده میل پیچ</v>
      </c>
      <c r="AG147" s="432" t="str">
        <f t="shared" si="95"/>
        <v>Plate</v>
      </c>
      <c r="AH147" s="432" t="str">
        <f>F147</f>
        <v>St-37</v>
      </c>
      <c r="AI147" s="182" t="s">
        <v>432</v>
      </c>
      <c r="AJ147" s="862" t="s">
        <v>472</v>
      </c>
      <c r="AK147" s="901">
        <f>M147/J147</f>
        <v>0.1272972972972973</v>
      </c>
      <c r="AL147" s="432" t="str">
        <f t="shared" si="100"/>
        <v>Kg</v>
      </c>
      <c r="AM147" s="1066">
        <f t="shared" si="70"/>
        <v>0.1272972972972973</v>
      </c>
      <c r="BD147" s="1120" t="str">
        <f t="shared" si="96"/>
        <v>05</v>
      </c>
      <c r="BE147" s="1121" t="str">
        <f t="shared" si="97"/>
        <v>13</v>
      </c>
      <c r="BF147" s="1121" t="str">
        <f t="shared" si="97"/>
        <v>413050113</v>
      </c>
      <c r="BG147" s="1122" t="str">
        <f t="shared" si="85"/>
        <v>پایه متحرک</v>
      </c>
      <c r="BH147" s="1122">
        <f t="shared" si="85"/>
        <v>1</v>
      </c>
      <c r="BI147" s="1123">
        <f t="shared" si="86"/>
        <v>1</v>
      </c>
    </row>
    <row r="148" spans="1:61" ht="15" x14ac:dyDescent="0.2">
      <c r="A148" s="1171">
        <v>141</v>
      </c>
      <c r="B148" s="182" t="s">
        <v>207</v>
      </c>
      <c r="C148" s="182" t="s">
        <v>207</v>
      </c>
      <c r="D148" s="187" t="s">
        <v>213</v>
      </c>
      <c r="E148" s="187" t="s">
        <v>3</v>
      </c>
      <c r="F148" s="187" t="s">
        <v>80</v>
      </c>
      <c r="G148" s="182">
        <v>8</v>
      </c>
      <c r="H148" s="182">
        <v>40</v>
      </c>
      <c r="I148" s="182">
        <v>40</v>
      </c>
      <c r="J148" s="182">
        <v>2</v>
      </c>
      <c r="K148" s="182" t="s">
        <v>29</v>
      </c>
      <c r="L148" s="183">
        <f>G148*H148*I148*J148*7.85/1000000</f>
        <v>0.20096</v>
      </c>
      <c r="M148" s="183">
        <f>((((1500-(INT(1500/H148)*H148))/(INT(1500/H148)))+H148)*G148*I148*J148*7.85)/1000000</f>
        <v>0.20367567567567568</v>
      </c>
      <c r="N148" s="184">
        <f t="shared" si="78"/>
        <v>1.3513513513513549E-2</v>
      </c>
      <c r="O148" s="642"/>
      <c r="P148" s="429">
        <f t="shared" si="87"/>
        <v>413</v>
      </c>
      <c r="Q148" s="430" t="s">
        <v>38</v>
      </c>
      <c r="R148" s="431" t="str">
        <f t="shared" si="88"/>
        <v>پایه متحرک</v>
      </c>
      <c r="S148" s="431">
        <v>1</v>
      </c>
      <c r="T148" s="623" t="s">
        <v>34</v>
      </c>
      <c r="U148" s="431" t="str">
        <f t="shared" si="89"/>
        <v>پایه متحرک</v>
      </c>
      <c r="V148" s="182">
        <v>1</v>
      </c>
      <c r="W148" s="623" t="s">
        <v>327</v>
      </c>
      <c r="X148" s="433" t="str">
        <f t="shared" si="90"/>
        <v>413050114</v>
      </c>
      <c r="Y148" s="434" t="str">
        <f t="shared" si="91"/>
        <v>صفحه اتصال پولی به میل پیچ</v>
      </c>
      <c r="Z148" s="182" t="s">
        <v>372</v>
      </c>
      <c r="AA148" s="432">
        <f t="shared" si="92"/>
        <v>2</v>
      </c>
      <c r="AB148" s="664">
        <f t="shared" si="66"/>
        <v>2</v>
      </c>
      <c r="AC148" s="984">
        <f t="shared" si="67"/>
        <v>2</v>
      </c>
      <c r="AE148" s="799" t="str">
        <f t="shared" si="93"/>
        <v>413050114</v>
      </c>
      <c r="AF148" s="800" t="str">
        <f t="shared" si="94"/>
        <v>صفحه اتصال پولی به میل پیچ</v>
      </c>
      <c r="AG148" s="432" t="str">
        <f t="shared" si="95"/>
        <v>Plate</v>
      </c>
      <c r="AH148" s="432" t="str">
        <f>F148</f>
        <v>St-37</v>
      </c>
      <c r="AI148" s="182" t="s">
        <v>432</v>
      </c>
      <c r="AJ148" s="862" t="s">
        <v>472</v>
      </c>
      <c r="AK148" s="901">
        <f t="shared" ref="AK148:AK150" si="102">M148/J148</f>
        <v>0.10183783783783784</v>
      </c>
      <c r="AL148" s="432" t="str">
        <f t="shared" si="100"/>
        <v>Kg</v>
      </c>
      <c r="AM148" s="1066">
        <f t="shared" si="70"/>
        <v>0.20367567567567568</v>
      </c>
      <c r="BD148" s="1120" t="str">
        <f t="shared" si="96"/>
        <v>05</v>
      </c>
      <c r="BE148" s="1121" t="str">
        <f t="shared" si="97"/>
        <v>14</v>
      </c>
      <c r="BF148" s="1121" t="str">
        <f t="shared" si="97"/>
        <v>413050114</v>
      </c>
      <c r="BG148" s="1122" t="str">
        <f t="shared" si="85"/>
        <v>پایه متحرک</v>
      </c>
      <c r="BH148" s="1122">
        <f t="shared" si="85"/>
        <v>1</v>
      </c>
      <c r="BI148" s="1123">
        <f t="shared" si="86"/>
        <v>1</v>
      </c>
    </row>
    <row r="149" spans="1:61" ht="15" x14ac:dyDescent="0.2">
      <c r="A149" s="1171">
        <v>142</v>
      </c>
      <c r="B149" s="182" t="s">
        <v>207</v>
      </c>
      <c r="C149" s="182" t="s">
        <v>207</v>
      </c>
      <c r="D149" s="187" t="s">
        <v>214</v>
      </c>
      <c r="E149" s="187" t="s">
        <v>3</v>
      </c>
      <c r="F149" s="187" t="s">
        <v>80</v>
      </c>
      <c r="G149" s="182">
        <v>8</v>
      </c>
      <c r="H149" s="182">
        <v>40</v>
      </c>
      <c r="I149" s="182">
        <v>100</v>
      </c>
      <c r="J149" s="182">
        <v>1</v>
      </c>
      <c r="K149" s="182" t="s">
        <v>29</v>
      </c>
      <c r="L149" s="183">
        <f>G149*H149*I149*J149*7.85/1000000</f>
        <v>0.25119999999999998</v>
      </c>
      <c r="M149" s="183">
        <f>((((1500-(INT(1500/H149)*H149))/(INT(1500/H149)))+H149)*G149*I149*J149*7.85)/1000000</f>
        <v>0.2545945945945946</v>
      </c>
      <c r="N149" s="184">
        <f t="shared" si="78"/>
        <v>1.3513513513513632E-2</v>
      </c>
      <c r="O149" s="642"/>
      <c r="P149" s="429">
        <f t="shared" si="87"/>
        <v>413</v>
      </c>
      <c r="Q149" s="430" t="s">
        <v>38</v>
      </c>
      <c r="R149" s="431" t="str">
        <f t="shared" si="88"/>
        <v>پایه متحرک</v>
      </c>
      <c r="S149" s="431">
        <v>1</v>
      </c>
      <c r="T149" s="623" t="s">
        <v>34</v>
      </c>
      <c r="U149" s="431" t="str">
        <f t="shared" si="89"/>
        <v>پایه متحرک</v>
      </c>
      <c r="V149" s="182">
        <v>1</v>
      </c>
      <c r="W149" s="623" t="s">
        <v>328</v>
      </c>
      <c r="X149" s="433" t="str">
        <f t="shared" si="90"/>
        <v>413050115</v>
      </c>
      <c r="Y149" s="434" t="str">
        <f t="shared" si="91"/>
        <v>صفحه نگهدارنده پولی</v>
      </c>
      <c r="Z149" s="182" t="s">
        <v>373</v>
      </c>
      <c r="AA149" s="432">
        <f t="shared" si="92"/>
        <v>1</v>
      </c>
      <c r="AB149" s="664">
        <f t="shared" si="66"/>
        <v>1</v>
      </c>
      <c r="AC149" s="984">
        <f t="shared" si="67"/>
        <v>1</v>
      </c>
      <c r="AE149" s="799" t="str">
        <f t="shared" si="93"/>
        <v>413050115</v>
      </c>
      <c r="AF149" s="800" t="str">
        <f t="shared" si="94"/>
        <v>صفحه نگهدارنده پولی</v>
      </c>
      <c r="AG149" s="432" t="str">
        <f t="shared" si="95"/>
        <v>Plate</v>
      </c>
      <c r="AH149" s="432" t="str">
        <f>F149</f>
        <v>St-37</v>
      </c>
      <c r="AI149" s="182" t="s">
        <v>432</v>
      </c>
      <c r="AJ149" s="862" t="s">
        <v>472</v>
      </c>
      <c r="AK149" s="901">
        <f t="shared" si="102"/>
        <v>0.2545945945945946</v>
      </c>
      <c r="AL149" s="432" t="str">
        <f t="shared" si="100"/>
        <v>Kg</v>
      </c>
      <c r="AM149" s="1066">
        <f t="shared" si="70"/>
        <v>0.2545945945945946</v>
      </c>
      <c r="BD149" s="1120" t="str">
        <f t="shared" si="96"/>
        <v>05</v>
      </c>
      <c r="BE149" s="1121" t="str">
        <f t="shared" si="97"/>
        <v>15</v>
      </c>
      <c r="BF149" s="1121" t="str">
        <f t="shared" si="97"/>
        <v>413050115</v>
      </c>
      <c r="BG149" s="1122" t="str">
        <f t="shared" si="85"/>
        <v>پایه متحرک</v>
      </c>
      <c r="BH149" s="1122">
        <f t="shared" si="85"/>
        <v>1</v>
      </c>
      <c r="BI149" s="1123">
        <f t="shared" si="86"/>
        <v>1</v>
      </c>
    </row>
    <row r="150" spans="1:61" ht="15" x14ac:dyDescent="0.2">
      <c r="A150" s="1171">
        <v>143</v>
      </c>
      <c r="B150" s="182" t="s">
        <v>207</v>
      </c>
      <c r="C150" s="182" t="s">
        <v>207</v>
      </c>
      <c r="D150" s="187" t="s">
        <v>215</v>
      </c>
      <c r="E150" s="187" t="s">
        <v>158</v>
      </c>
      <c r="F150" s="187" t="s">
        <v>159</v>
      </c>
      <c r="G150" s="182" t="s">
        <v>160</v>
      </c>
      <c r="H150" s="182">
        <v>22</v>
      </c>
      <c r="I150" s="182">
        <v>70</v>
      </c>
      <c r="J150" s="182">
        <v>2</v>
      </c>
      <c r="K150" s="182" t="s">
        <v>6</v>
      </c>
      <c r="L150" s="182">
        <f>J150*I150</f>
        <v>140</v>
      </c>
      <c r="M150" s="182">
        <f>(((6000-(INT(6000/I150)*I150))/(INT(6000/I150)))+I150)*J150</f>
        <v>141.1764705882353</v>
      </c>
      <c r="N150" s="184">
        <f t="shared" si="78"/>
        <v>8.4033613445378876E-3</v>
      </c>
      <c r="O150" s="642"/>
      <c r="P150" s="429">
        <f t="shared" si="87"/>
        <v>413</v>
      </c>
      <c r="Q150" s="430" t="s">
        <v>38</v>
      </c>
      <c r="R150" s="431" t="str">
        <f t="shared" si="88"/>
        <v>پایه متحرک</v>
      </c>
      <c r="S150" s="431">
        <v>1</v>
      </c>
      <c r="T150" s="623" t="s">
        <v>34</v>
      </c>
      <c r="U150" s="431" t="str">
        <f t="shared" si="89"/>
        <v>پایه متحرک</v>
      </c>
      <c r="V150" s="182">
        <v>1</v>
      </c>
      <c r="W150" s="623" t="s">
        <v>329</v>
      </c>
      <c r="X150" s="433" t="str">
        <f t="shared" si="90"/>
        <v>413050116</v>
      </c>
      <c r="Y150" s="434" t="str">
        <f t="shared" si="91"/>
        <v>لوله تقویتی قوطی عرضی</v>
      </c>
      <c r="Z150" s="182" t="s">
        <v>374</v>
      </c>
      <c r="AA150" s="432">
        <f t="shared" si="92"/>
        <v>2</v>
      </c>
      <c r="AB150" s="664">
        <f t="shared" ref="AB150:AB203" si="103">AA150*V150</f>
        <v>2</v>
      </c>
      <c r="AC150" s="984">
        <f t="shared" ref="AC150:AC203" si="104">AB150*S150</f>
        <v>2</v>
      </c>
      <c r="AE150" s="799" t="str">
        <f t="shared" si="93"/>
        <v>413050116</v>
      </c>
      <c r="AF150" s="800" t="str">
        <f t="shared" si="94"/>
        <v>لوله تقویتی قوطی عرضی</v>
      </c>
      <c r="AG150" s="432" t="str">
        <f t="shared" si="95"/>
        <v>Pipe</v>
      </c>
      <c r="AH150" s="432" t="str">
        <f>F150&amp;"-"&amp;G150</f>
        <v>A-53-1/2"-Sch30</v>
      </c>
      <c r="AI150" s="829" t="s">
        <v>431</v>
      </c>
      <c r="AJ150" s="862" t="s">
        <v>107</v>
      </c>
      <c r="AK150" s="901">
        <f t="shared" si="102"/>
        <v>70.588235294117652</v>
      </c>
      <c r="AL150" s="432" t="str">
        <f t="shared" si="100"/>
        <v>mm</v>
      </c>
      <c r="AM150" s="1066">
        <f t="shared" si="70"/>
        <v>141.1764705882353</v>
      </c>
      <c r="BD150" s="1120" t="str">
        <f t="shared" si="96"/>
        <v>05</v>
      </c>
      <c r="BE150" s="1121" t="str">
        <f t="shared" si="97"/>
        <v>16</v>
      </c>
      <c r="BF150" s="1121" t="str">
        <f t="shared" si="97"/>
        <v>413050116</v>
      </c>
      <c r="BG150" s="1122" t="str">
        <f t="shared" si="85"/>
        <v>پایه متحرک</v>
      </c>
      <c r="BH150" s="1122">
        <f t="shared" si="85"/>
        <v>1</v>
      </c>
      <c r="BI150" s="1123">
        <f t="shared" si="86"/>
        <v>1</v>
      </c>
    </row>
    <row r="151" spans="1:61" ht="15" x14ac:dyDescent="0.2">
      <c r="A151" s="1171">
        <v>144</v>
      </c>
      <c r="B151" s="182" t="s">
        <v>207</v>
      </c>
      <c r="C151" s="182" t="s">
        <v>207</v>
      </c>
      <c r="D151" s="187" t="s">
        <v>216</v>
      </c>
      <c r="E151" s="187" t="s">
        <v>8</v>
      </c>
      <c r="F151" s="187" t="s">
        <v>234</v>
      </c>
      <c r="G151" s="182">
        <v>5.6</v>
      </c>
      <c r="H151" s="182" t="s">
        <v>10</v>
      </c>
      <c r="I151" s="1202" t="s">
        <v>20</v>
      </c>
      <c r="J151" s="182">
        <v>2</v>
      </c>
      <c r="K151" s="182" t="s">
        <v>30</v>
      </c>
      <c r="L151" s="182">
        <f t="shared" ref="L151:L166" si="105">J151</f>
        <v>2</v>
      </c>
      <c r="M151" s="182">
        <f t="shared" ref="M151:M166" si="106">J151</f>
        <v>2</v>
      </c>
      <c r="N151" s="184">
        <f t="shared" si="78"/>
        <v>0</v>
      </c>
      <c r="O151" s="642"/>
      <c r="P151" s="429">
        <f t="shared" si="87"/>
        <v>413</v>
      </c>
      <c r="Q151" s="430" t="s">
        <v>38</v>
      </c>
      <c r="R151" s="431" t="str">
        <f t="shared" si="88"/>
        <v>پایه متحرک</v>
      </c>
      <c r="S151" s="431">
        <v>1</v>
      </c>
      <c r="T151" s="623" t="s">
        <v>34</v>
      </c>
      <c r="U151" s="431" t="str">
        <f t="shared" si="89"/>
        <v>پایه متحرک</v>
      </c>
      <c r="V151" s="182">
        <v>1</v>
      </c>
      <c r="W151" s="623" t="s">
        <v>330</v>
      </c>
      <c r="X151" s="433" t="str">
        <f t="shared" si="90"/>
        <v>413050117</v>
      </c>
      <c r="Y151" s="434" t="str">
        <f t="shared" si="91"/>
        <v>پیچ قوطی تقویتی</v>
      </c>
      <c r="Z151" s="182" t="s">
        <v>234</v>
      </c>
      <c r="AA151" s="432">
        <f t="shared" si="92"/>
        <v>2</v>
      </c>
      <c r="AB151" s="664">
        <f t="shared" si="103"/>
        <v>2</v>
      </c>
      <c r="AC151" s="984">
        <f t="shared" si="104"/>
        <v>2</v>
      </c>
      <c r="AE151" s="799" t="str">
        <f t="shared" si="93"/>
        <v>413050117</v>
      </c>
      <c r="AF151" s="800" t="str">
        <f t="shared" si="94"/>
        <v>پیچ قوطی تقویتی</v>
      </c>
      <c r="AG151" s="432" t="str">
        <f t="shared" si="95"/>
        <v>Hex Bolt</v>
      </c>
      <c r="AH151" s="432" t="str">
        <f t="shared" ref="AH151:AH200" si="107">F151&amp;"-"&amp;G151&amp;"-"&amp;H151&amp;"-"&amp;I151</f>
        <v>M14x90-5.6-Electroplated-Din 933</v>
      </c>
      <c r="AI151" s="182" t="s">
        <v>450</v>
      </c>
      <c r="AJ151" s="862" t="s">
        <v>403</v>
      </c>
      <c r="AK151" s="901" t="s">
        <v>484</v>
      </c>
      <c r="AL151" s="432" t="str">
        <f t="shared" si="100"/>
        <v>Pcs</v>
      </c>
      <c r="AM151" s="1066">
        <f t="shared" si="70"/>
        <v>2</v>
      </c>
      <c r="BD151" s="1120" t="str">
        <f t="shared" si="96"/>
        <v>05</v>
      </c>
      <c r="BE151" s="1121" t="str">
        <f t="shared" si="97"/>
        <v>17</v>
      </c>
      <c r="BF151" s="1121" t="str">
        <f t="shared" si="97"/>
        <v>413050117</v>
      </c>
      <c r="BG151" s="1122" t="str">
        <f t="shared" si="85"/>
        <v>پایه متحرک</v>
      </c>
      <c r="BH151" s="1122">
        <f t="shared" si="85"/>
        <v>1</v>
      </c>
      <c r="BI151" s="1123">
        <f t="shared" si="86"/>
        <v>1</v>
      </c>
    </row>
    <row r="152" spans="1:61" ht="15" x14ac:dyDescent="0.2">
      <c r="A152" s="1171">
        <v>145</v>
      </c>
      <c r="B152" s="182" t="s">
        <v>207</v>
      </c>
      <c r="C152" s="182" t="s">
        <v>207</v>
      </c>
      <c r="D152" s="187" t="s">
        <v>217</v>
      </c>
      <c r="E152" s="187" t="s">
        <v>8</v>
      </c>
      <c r="F152" s="187" t="s">
        <v>150</v>
      </c>
      <c r="G152" s="182">
        <v>5</v>
      </c>
      <c r="H152" s="182" t="s">
        <v>10</v>
      </c>
      <c r="I152" s="182" t="s">
        <v>21</v>
      </c>
      <c r="J152" s="182">
        <v>2</v>
      </c>
      <c r="K152" s="182" t="s">
        <v>30</v>
      </c>
      <c r="L152" s="182">
        <f t="shared" si="105"/>
        <v>2</v>
      </c>
      <c r="M152" s="182">
        <f t="shared" si="106"/>
        <v>2</v>
      </c>
      <c r="N152" s="184">
        <f t="shared" si="78"/>
        <v>0</v>
      </c>
      <c r="O152" s="642"/>
      <c r="P152" s="429">
        <f t="shared" si="87"/>
        <v>413</v>
      </c>
      <c r="Q152" s="430" t="s">
        <v>38</v>
      </c>
      <c r="R152" s="431" t="str">
        <f t="shared" si="88"/>
        <v>پایه متحرک</v>
      </c>
      <c r="S152" s="431">
        <v>1</v>
      </c>
      <c r="T152" s="623" t="s">
        <v>34</v>
      </c>
      <c r="U152" s="431" t="str">
        <f t="shared" si="89"/>
        <v>پایه متحرک</v>
      </c>
      <c r="V152" s="182">
        <v>1</v>
      </c>
      <c r="W152" s="623" t="s">
        <v>331</v>
      </c>
      <c r="X152" s="433" t="str">
        <f t="shared" si="90"/>
        <v>413050118</v>
      </c>
      <c r="Y152" s="434" t="str">
        <f t="shared" si="91"/>
        <v>مهره قوطی تقویتی</v>
      </c>
      <c r="Z152" s="182" t="s">
        <v>150</v>
      </c>
      <c r="AA152" s="432">
        <f t="shared" si="92"/>
        <v>2</v>
      </c>
      <c r="AB152" s="664">
        <f t="shared" si="103"/>
        <v>2</v>
      </c>
      <c r="AC152" s="984">
        <f t="shared" si="104"/>
        <v>2</v>
      </c>
      <c r="AE152" s="799" t="str">
        <f t="shared" si="93"/>
        <v>413050118</v>
      </c>
      <c r="AF152" s="800" t="str">
        <f t="shared" si="94"/>
        <v>مهره قوطی تقویتی</v>
      </c>
      <c r="AG152" s="432" t="str">
        <f t="shared" si="95"/>
        <v>Hex Bolt</v>
      </c>
      <c r="AH152" s="432" t="str">
        <f t="shared" si="107"/>
        <v>M14-5-Electroplated-Din 934</v>
      </c>
      <c r="AI152" s="829" t="s">
        <v>429</v>
      </c>
      <c r="AJ152" s="862" t="s">
        <v>390</v>
      </c>
      <c r="AK152" s="901" t="s">
        <v>484</v>
      </c>
      <c r="AL152" s="432" t="str">
        <f t="shared" si="100"/>
        <v>Pcs</v>
      </c>
      <c r="AM152" s="1066">
        <f t="shared" si="70"/>
        <v>2</v>
      </c>
      <c r="BD152" s="1120" t="str">
        <f t="shared" si="96"/>
        <v>05</v>
      </c>
      <c r="BE152" s="1121" t="str">
        <f t="shared" si="97"/>
        <v>18</v>
      </c>
      <c r="BF152" s="1121" t="str">
        <f t="shared" si="97"/>
        <v>413050118</v>
      </c>
      <c r="BG152" s="1122" t="str">
        <f t="shared" si="85"/>
        <v>پایه متحرک</v>
      </c>
      <c r="BH152" s="1122">
        <f t="shared" si="85"/>
        <v>1</v>
      </c>
      <c r="BI152" s="1123">
        <f t="shared" si="86"/>
        <v>1</v>
      </c>
    </row>
    <row r="153" spans="1:61" ht="15" x14ac:dyDescent="0.2">
      <c r="A153" s="1171">
        <v>146</v>
      </c>
      <c r="B153" s="182" t="s">
        <v>207</v>
      </c>
      <c r="C153" s="182" t="s">
        <v>207</v>
      </c>
      <c r="D153" s="187" t="s">
        <v>218</v>
      </c>
      <c r="E153" s="187" t="s">
        <v>193</v>
      </c>
      <c r="F153" s="187" t="s">
        <v>235</v>
      </c>
      <c r="G153" s="182" t="s">
        <v>199</v>
      </c>
      <c r="H153" s="182" t="s">
        <v>10</v>
      </c>
      <c r="I153" s="182" t="s">
        <v>200</v>
      </c>
      <c r="J153" s="182">
        <v>4</v>
      </c>
      <c r="K153" s="182" t="s">
        <v>30</v>
      </c>
      <c r="L153" s="182">
        <f t="shared" si="105"/>
        <v>4</v>
      </c>
      <c r="M153" s="182">
        <f t="shared" si="106"/>
        <v>4</v>
      </c>
      <c r="N153" s="184">
        <f t="shared" si="78"/>
        <v>0</v>
      </c>
      <c r="O153" s="642"/>
      <c r="P153" s="429">
        <f t="shared" si="87"/>
        <v>413</v>
      </c>
      <c r="Q153" s="430" t="s">
        <v>38</v>
      </c>
      <c r="R153" s="431" t="str">
        <f t="shared" si="88"/>
        <v>پایه متحرک</v>
      </c>
      <c r="S153" s="431">
        <v>1</v>
      </c>
      <c r="T153" s="623" t="s">
        <v>34</v>
      </c>
      <c r="U153" s="431" t="str">
        <f t="shared" si="89"/>
        <v>پایه متحرک</v>
      </c>
      <c r="V153" s="182">
        <v>1</v>
      </c>
      <c r="W153" s="623" t="s">
        <v>332</v>
      </c>
      <c r="X153" s="433" t="str">
        <f t="shared" si="90"/>
        <v>413050119</v>
      </c>
      <c r="Y153" s="434" t="str">
        <f t="shared" si="91"/>
        <v>واشر تخت قوطی تقویتی</v>
      </c>
      <c r="Z153" s="182" t="s">
        <v>152</v>
      </c>
      <c r="AA153" s="432">
        <f t="shared" si="92"/>
        <v>4</v>
      </c>
      <c r="AB153" s="664">
        <f t="shared" si="103"/>
        <v>4</v>
      </c>
      <c r="AC153" s="984">
        <f t="shared" si="104"/>
        <v>4</v>
      </c>
      <c r="AE153" s="799" t="str">
        <f t="shared" si="93"/>
        <v>413050119</v>
      </c>
      <c r="AF153" s="800" t="str">
        <f t="shared" si="94"/>
        <v>واشر تخت قوطی تقویتی</v>
      </c>
      <c r="AG153" s="432" t="str">
        <f t="shared" si="95"/>
        <v>Flat Washer</v>
      </c>
      <c r="AH153" s="432" t="str">
        <f t="shared" si="107"/>
        <v>A14x30-S-Electroplated-Din 126</v>
      </c>
      <c r="AI153" s="182" t="s">
        <v>451</v>
      </c>
      <c r="AJ153" s="862" t="s">
        <v>400</v>
      </c>
      <c r="AK153" s="901" t="s">
        <v>484</v>
      </c>
      <c r="AL153" s="432" t="str">
        <f t="shared" si="100"/>
        <v>Pcs</v>
      </c>
      <c r="AM153" s="1066">
        <f t="shared" si="70"/>
        <v>4</v>
      </c>
      <c r="BD153" s="1120" t="str">
        <f t="shared" si="96"/>
        <v>05</v>
      </c>
      <c r="BE153" s="1121" t="str">
        <f t="shared" si="97"/>
        <v>19</v>
      </c>
      <c r="BF153" s="1121" t="str">
        <f t="shared" si="97"/>
        <v>413050119</v>
      </c>
      <c r="BG153" s="1122" t="str">
        <f t="shared" si="85"/>
        <v>پایه متحرک</v>
      </c>
      <c r="BH153" s="1122">
        <f t="shared" si="85"/>
        <v>1</v>
      </c>
      <c r="BI153" s="1123">
        <f t="shared" si="86"/>
        <v>1</v>
      </c>
    </row>
    <row r="154" spans="1:61" ht="15" x14ac:dyDescent="0.2">
      <c r="A154" s="1171">
        <v>147</v>
      </c>
      <c r="B154" s="182" t="s">
        <v>207</v>
      </c>
      <c r="C154" s="182" t="s">
        <v>207</v>
      </c>
      <c r="D154" s="187" t="s">
        <v>219</v>
      </c>
      <c r="E154" s="187" t="s">
        <v>18</v>
      </c>
      <c r="F154" s="187" t="s">
        <v>152</v>
      </c>
      <c r="G154" s="182" t="s">
        <v>24</v>
      </c>
      <c r="H154" s="182" t="s">
        <v>10</v>
      </c>
      <c r="I154" s="182" t="s">
        <v>22</v>
      </c>
      <c r="J154" s="182">
        <v>2</v>
      </c>
      <c r="K154" s="182" t="s">
        <v>30</v>
      </c>
      <c r="L154" s="182">
        <f t="shared" si="105"/>
        <v>2</v>
      </c>
      <c r="M154" s="182">
        <f t="shared" si="106"/>
        <v>2</v>
      </c>
      <c r="N154" s="184">
        <f t="shared" si="78"/>
        <v>0</v>
      </c>
      <c r="O154" s="642"/>
      <c r="P154" s="429">
        <f t="shared" si="87"/>
        <v>413</v>
      </c>
      <c r="Q154" s="430" t="s">
        <v>38</v>
      </c>
      <c r="R154" s="431" t="str">
        <f t="shared" si="88"/>
        <v>پایه متحرک</v>
      </c>
      <c r="S154" s="431">
        <v>1</v>
      </c>
      <c r="T154" s="623" t="s">
        <v>34</v>
      </c>
      <c r="U154" s="431" t="str">
        <f t="shared" si="89"/>
        <v>پایه متحرک</v>
      </c>
      <c r="V154" s="182">
        <v>1</v>
      </c>
      <c r="W154" s="623" t="s">
        <v>333</v>
      </c>
      <c r="X154" s="433" t="str">
        <f t="shared" si="90"/>
        <v>413050120</v>
      </c>
      <c r="Y154" s="434" t="str">
        <f t="shared" si="91"/>
        <v>واشر فنری قوطی تقویتی</v>
      </c>
      <c r="Z154" s="182" t="s">
        <v>152</v>
      </c>
      <c r="AA154" s="432">
        <f t="shared" si="92"/>
        <v>2</v>
      </c>
      <c r="AB154" s="664">
        <f t="shared" si="103"/>
        <v>2</v>
      </c>
      <c r="AC154" s="984">
        <f t="shared" si="104"/>
        <v>2</v>
      </c>
      <c r="AE154" s="799" t="str">
        <f t="shared" si="93"/>
        <v>413050120</v>
      </c>
      <c r="AF154" s="800" t="str">
        <f t="shared" si="94"/>
        <v>واشر فنری قوطی تقویتی</v>
      </c>
      <c r="AG154" s="432" t="str">
        <f t="shared" si="95"/>
        <v>Spring Washer</v>
      </c>
      <c r="AH154" s="432" t="str">
        <f t="shared" si="107"/>
        <v>A14-F-Electroplated-Din 127</v>
      </c>
      <c r="AI154" s="182" t="s">
        <v>430</v>
      </c>
      <c r="AJ154" s="862" t="s">
        <v>391</v>
      </c>
      <c r="AK154" s="901" t="s">
        <v>484</v>
      </c>
      <c r="AL154" s="432" t="str">
        <f t="shared" si="100"/>
        <v>Pcs</v>
      </c>
      <c r="AM154" s="1066">
        <f t="shared" si="70"/>
        <v>2</v>
      </c>
      <c r="BD154" s="1120" t="str">
        <f t="shared" si="96"/>
        <v>05</v>
      </c>
      <c r="BE154" s="1121" t="str">
        <f t="shared" si="97"/>
        <v>20</v>
      </c>
      <c r="BF154" s="1121" t="str">
        <f t="shared" si="97"/>
        <v>413050120</v>
      </c>
      <c r="BG154" s="1122" t="str">
        <f t="shared" si="85"/>
        <v>پایه متحرک</v>
      </c>
      <c r="BH154" s="1122">
        <f t="shared" si="85"/>
        <v>1</v>
      </c>
      <c r="BI154" s="1123">
        <f t="shared" si="86"/>
        <v>1</v>
      </c>
    </row>
    <row r="155" spans="1:61" ht="15" x14ac:dyDescent="0.2">
      <c r="A155" s="1171">
        <v>148</v>
      </c>
      <c r="B155" s="182" t="s">
        <v>207</v>
      </c>
      <c r="C155" s="182" t="s">
        <v>207</v>
      </c>
      <c r="D155" s="187" t="s">
        <v>220</v>
      </c>
      <c r="E155" s="187" t="s">
        <v>9</v>
      </c>
      <c r="F155" s="187" t="s">
        <v>150</v>
      </c>
      <c r="G155" s="182">
        <v>5</v>
      </c>
      <c r="H155" s="182" t="s">
        <v>10</v>
      </c>
      <c r="I155" s="182" t="s">
        <v>21</v>
      </c>
      <c r="J155" s="182">
        <v>1</v>
      </c>
      <c r="K155" s="182" t="s">
        <v>30</v>
      </c>
      <c r="L155" s="182">
        <f t="shared" si="105"/>
        <v>1</v>
      </c>
      <c r="M155" s="182">
        <f t="shared" si="106"/>
        <v>1</v>
      </c>
      <c r="N155" s="185">
        <f t="shared" si="78"/>
        <v>0</v>
      </c>
      <c r="O155" s="643"/>
      <c r="P155" s="429">
        <f t="shared" si="87"/>
        <v>413</v>
      </c>
      <c r="Q155" s="430" t="s">
        <v>38</v>
      </c>
      <c r="R155" s="431" t="str">
        <f t="shared" si="88"/>
        <v>پایه متحرک</v>
      </c>
      <c r="S155" s="431">
        <v>1</v>
      </c>
      <c r="T155" s="623" t="s">
        <v>34</v>
      </c>
      <c r="U155" s="431" t="str">
        <f t="shared" si="89"/>
        <v>پایه متحرک</v>
      </c>
      <c r="V155" s="182">
        <v>1</v>
      </c>
      <c r="W155" s="623" t="s">
        <v>334</v>
      </c>
      <c r="X155" s="433" t="str">
        <f t="shared" si="90"/>
        <v>413050121</v>
      </c>
      <c r="Y155" s="434" t="str">
        <f t="shared" si="91"/>
        <v>مهره سر میل پیچ</v>
      </c>
      <c r="Z155" s="182" t="s">
        <v>150</v>
      </c>
      <c r="AA155" s="432">
        <f t="shared" si="92"/>
        <v>1</v>
      </c>
      <c r="AB155" s="664">
        <f t="shared" si="103"/>
        <v>1</v>
      </c>
      <c r="AC155" s="984">
        <f t="shared" si="104"/>
        <v>1</v>
      </c>
      <c r="AE155" s="799" t="str">
        <f t="shared" si="93"/>
        <v>413050121</v>
      </c>
      <c r="AF155" s="800" t="str">
        <f t="shared" si="94"/>
        <v>مهره سر میل پیچ</v>
      </c>
      <c r="AG155" s="432" t="str">
        <f t="shared" si="95"/>
        <v>Hex Nut</v>
      </c>
      <c r="AH155" s="432" t="str">
        <f t="shared" si="107"/>
        <v>M14-5-Electroplated-Din 934</v>
      </c>
      <c r="AI155" s="829" t="s">
        <v>429</v>
      </c>
      <c r="AJ155" s="862" t="s">
        <v>390</v>
      </c>
      <c r="AK155" s="901" t="s">
        <v>484</v>
      </c>
      <c r="AL155" s="432" t="str">
        <f t="shared" si="100"/>
        <v>Pcs</v>
      </c>
      <c r="AM155" s="1066">
        <f t="shared" si="70"/>
        <v>1</v>
      </c>
      <c r="BD155" s="1120" t="str">
        <f t="shared" si="96"/>
        <v>05</v>
      </c>
      <c r="BE155" s="1121" t="str">
        <f t="shared" si="97"/>
        <v>21</v>
      </c>
      <c r="BF155" s="1121" t="str">
        <f t="shared" si="97"/>
        <v>413050121</v>
      </c>
      <c r="BG155" s="1122" t="str">
        <f t="shared" si="85"/>
        <v>پایه متحرک</v>
      </c>
      <c r="BH155" s="1122">
        <f t="shared" si="85"/>
        <v>1</v>
      </c>
      <c r="BI155" s="1123">
        <f t="shared" si="86"/>
        <v>1</v>
      </c>
    </row>
    <row r="156" spans="1:61" ht="15.75" thickBot="1" x14ac:dyDescent="0.25">
      <c r="A156" s="1174">
        <v>149</v>
      </c>
      <c r="B156" s="188" t="s">
        <v>207</v>
      </c>
      <c r="C156" s="188" t="s">
        <v>207</v>
      </c>
      <c r="D156" s="189" t="s">
        <v>221</v>
      </c>
      <c r="E156" s="189" t="s">
        <v>237</v>
      </c>
      <c r="F156" s="189" t="s">
        <v>238</v>
      </c>
      <c r="G156" s="188" t="s">
        <v>2</v>
      </c>
      <c r="H156" s="188" t="s">
        <v>10</v>
      </c>
      <c r="I156" s="188" t="s">
        <v>236</v>
      </c>
      <c r="J156" s="188">
        <v>1</v>
      </c>
      <c r="K156" s="188" t="s">
        <v>30</v>
      </c>
      <c r="L156" s="188">
        <f t="shared" si="105"/>
        <v>1</v>
      </c>
      <c r="M156" s="188">
        <f t="shared" si="106"/>
        <v>1</v>
      </c>
      <c r="N156" s="190">
        <f t="shared" si="78"/>
        <v>0</v>
      </c>
      <c r="O156" s="643"/>
      <c r="P156" s="435">
        <f t="shared" si="87"/>
        <v>413</v>
      </c>
      <c r="Q156" s="436" t="s">
        <v>38</v>
      </c>
      <c r="R156" s="437" t="str">
        <f t="shared" si="88"/>
        <v>پایه متحرک</v>
      </c>
      <c r="S156" s="437">
        <v>1</v>
      </c>
      <c r="T156" s="825" t="s">
        <v>34</v>
      </c>
      <c r="U156" s="437" t="str">
        <f t="shared" si="89"/>
        <v>پایه متحرک</v>
      </c>
      <c r="V156" s="982">
        <v>1</v>
      </c>
      <c r="W156" s="825" t="s">
        <v>335</v>
      </c>
      <c r="X156" s="439" t="str">
        <f t="shared" si="90"/>
        <v>413050122</v>
      </c>
      <c r="Y156" s="440" t="str">
        <f t="shared" si="91"/>
        <v>اشپیل مهره میل پیچ</v>
      </c>
      <c r="Z156" s="982" t="s">
        <v>238</v>
      </c>
      <c r="AA156" s="438">
        <f t="shared" si="92"/>
        <v>1</v>
      </c>
      <c r="AB156" s="985">
        <f t="shared" si="103"/>
        <v>1</v>
      </c>
      <c r="AC156" s="986">
        <f t="shared" si="104"/>
        <v>1</v>
      </c>
      <c r="AE156" s="1067" t="str">
        <f t="shared" si="93"/>
        <v>413050122</v>
      </c>
      <c r="AF156" s="1068" t="str">
        <f t="shared" si="94"/>
        <v>اشپیل مهره میل پیچ</v>
      </c>
      <c r="AG156" s="438" t="str">
        <f t="shared" si="95"/>
        <v>Cutter Pin</v>
      </c>
      <c r="AH156" s="438" t="str">
        <f t="shared" si="107"/>
        <v>2.6x30---Electroplated-Din 94</v>
      </c>
      <c r="AI156" s="982" t="s">
        <v>452</v>
      </c>
      <c r="AJ156" s="1069" t="s">
        <v>404</v>
      </c>
      <c r="AK156" s="1070" t="s">
        <v>484</v>
      </c>
      <c r="AL156" s="438" t="str">
        <f t="shared" si="100"/>
        <v>Pcs</v>
      </c>
      <c r="AM156" s="1071">
        <f t="shared" si="70"/>
        <v>1</v>
      </c>
      <c r="BD156" s="1120" t="str">
        <f t="shared" si="96"/>
        <v>05</v>
      </c>
      <c r="BE156" s="1121" t="str">
        <f t="shared" si="97"/>
        <v>22</v>
      </c>
      <c r="BF156" s="1121" t="str">
        <f t="shared" si="97"/>
        <v>413050122</v>
      </c>
      <c r="BG156" s="1122" t="str">
        <f t="shared" si="85"/>
        <v>پایه متحرک</v>
      </c>
      <c r="BH156" s="1122">
        <f t="shared" si="85"/>
        <v>1</v>
      </c>
      <c r="BI156" s="1123">
        <f t="shared" si="86"/>
        <v>1</v>
      </c>
    </row>
    <row r="157" spans="1:61" ht="15" x14ac:dyDescent="0.2">
      <c r="A157" s="1170">
        <v>150</v>
      </c>
      <c r="B157" s="192" t="s">
        <v>207</v>
      </c>
      <c r="C157" s="192" t="s">
        <v>184</v>
      </c>
      <c r="D157" s="196" t="s">
        <v>184</v>
      </c>
      <c r="E157" s="198" t="s">
        <v>194</v>
      </c>
      <c r="F157" s="196" t="s">
        <v>2</v>
      </c>
      <c r="G157" s="192" t="s">
        <v>195</v>
      </c>
      <c r="H157" s="192">
        <v>212</v>
      </c>
      <c r="I157" s="192" t="s">
        <v>2</v>
      </c>
      <c r="J157" s="192">
        <v>1</v>
      </c>
      <c r="K157" s="192" t="s">
        <v>30</v>
      </c>
      <c r="L157" s="192">
        <f t="shared" si="105"/>
        <v>1</v>
      </c>
      <c r="M157" s="192">
        <f t="shared" si="106"/>
        <v>1</v>
      </c>
      <c r="N157" s="193">
        <f t="shared" si="78"/>
        <v>0</v>
      </c>
      <c r="O157" s="643"/>
      <c r="P157" s="477">
        <f t="shared" si="87"/>
        <v>413</v>
      </c>
      <c r="Q157" s="478" t="s">
        <v>38</v>
      </c>
      <c r="R157" s="479" t="str">
        <f t="shared" si="88"/>
        <v>پایه متحرک</v>
      </c>
      <c r="S157" s="479">
        <v>1</v>
      </c>
      <c r="T157" s="624" t="s">
        <v>35</v>
      </c>
      <c r="U157" s="479" t="str">
        <f t="shared" si="89"/>
        <v>یاتاقان</v>
      </c>
      <c r="V157" s="192">
        <v>1</v>
      </c>
      <c r="W157" s="624" t="s">
        <v>34</v>
      </c>
      <c r="X157" s="480" t="str">
        <f t="shared" si="90"/>
        <v>413050201</v>
      </c>
      <c r="Y157" s="481" t="str">
        <f t="shared" si="91"/>
        <v>یاتاقان</v>
      </c>
      <c r="Z157" s="192" t="s">
        <v>361</v>
      </c>
      <c r="AA157" s="482">
        <f t="shared" si="92"/>
        <v>1</v>
      </c>
      <c r="AB157" s="665">
        <f t="shared" si="103"/>
        <v>1</v>
      </c>
      <c r="AC157" s="995">
        <f t="shared" si="104"/>
        <v>1</v>
      </c>
      <c r="AE157" s="771" t="str">
        <f t="shared" si="93"/>
        <v>413050201</v>
      </c>
      <c r="AF157" s="772" t="str">
        <f t="shared" si="94"/>
        <v>یاتاقان</v>
      </c>
      <c r="AG157" s="482" t="str">
        <f t="shared" si="95"/>
        <v>UCP 212</v>
      </c>
      <c r="AH157" s="482" t="str">
        <f>G157&amp;"-"&amp;H157</f>
        <v>UCP-212</v>
      </c>
      <c r="AI157" s="192" t="s">
        <v>440</v>
      </c>
      <c r="AJ157" s="864" t="s">
        <v>394</v>
      </c>
      <c r="AK157" s="903" t="s">
        <v>484</v>
      </c>
      <c r="AL157" s="482" t="str">
        <f t="shared" si="100"/>
        <v>Pcs</v>
      </c>
      <c r="AM157" s="1082">
        <f t="shared" si="70"/>
        <v>1</v>
      </c>
      <c r="BD157" s="1120" t="str">
        <f t="shared" si="96"/>
        <v>05</v>
      </c>
      <c r="BE157" s="1121" t="str">
        <f t="shared" si="97"/>
        <v>01</v>
      </c>
      <c r="BF157" s="1121" t="str">
        <f t="shared" si="97"/>
        <v>413050201</v>
      </c>
      <c r="BG157" s="1122" t="str">
        <f t="shared" si="85"/>
        <v>پایه متحرک</v>
      </c>
      <c r="BH157" s="1122">
        <f t="shared" si="85"/>
        <v>1</v>
      </c>
      <c r="BI157" s="1123">
        <f t="shared" si="86"/>
        <v>1</v>
      </c>
    </row>
    <row r="158" spans="1:61" ht="15" x14ac:dyDescent="0.2">
      <c r="A158" s="1171">
        <v>151</v>
      </c>
      <c r="B158" s="194" t="s">
        <v>207</v>
      </c>
      <c r="C158" s="194" t="s">
        <v>184</v>
      </c>
      <c r="D158" s="197" t="s">
        <v>185</v>
      </c>
      <c r="E158" s="197" t="s">
        <v>8</v>
      </c>
      <c r="F158" s="197" t="s">
        <v>192</v>
      </c>
      <c r="G158" s="194">
        <v>5.6</v>
      </c>
      <c r="H158" s="194" t="s">
        <v>10</v>
      </c>
      <c r="I158" s="194" t="s">
        <v>20</v>
      </c>
      <c r="J158" s="194">
        <v>2</v>
      </c>
      <c r="K158" s="194" t="s">
        <v>30</v>
      </c>
      <c r="L158" s="194">
        <f t="shared" si="105"/>
        <v>2</v>
      </c>
      <c r="M158" s="194">
        <f t="shared" si="106"/>
        <v>2</v>
      </c>
      <c r="N158" s="195">
        <f t="shared" si="78"/>
        <v>0</v>
      </c>
      <c r="O158" s="643"/>
      <c r="P158" s="483">
        <f t="shared" si="87"/>
        <v>413</v>
      </c>
      <c r="Q158" s="484" t="s">
        <v>38</v>
      </c>
      <c r="R158" s="485" t="str">
        <f t="shared" si="88"/>
        <v>پایه متحرک</v>
      </c>
      <c r="S158" s="485">
        <v>1</v>
      </c>
      <c r="T158" s="625" t="s">
        <v>35</v>
      </c>
      <c r="U158" s="485" t="str">
        <f t="shared" si="89"/>
        <v>یاتاقان</v>
      </c>
      <c r="V158" s="194">
        <v>1</v>
      </c>
      <c r="W158" s="625" t="s">
        <v>35</v>
      </c>
      <c r="X158" s="486" t="str">
        <f t="shared" si="90"/>
        <v>413050202</v>
      </c>
      <c r="Y158" s="487" t="str">
        <f t="shared" si="91"/>
        <v>پیچ  یاتاقان</v>
      </c>
      <c r="Z158" s="194" t="s">
        <v>192</v>
      </c>
      <c r="AA158" s="488">
        <f t="shared" si="92"/>
        <v>2</v>
      </c>
      <c r="AB158" s="666">
        <f t="shared" si="103"/>
        <v>2</v>
      </c>
      <c r="AC158" s="996">
        <f t="shared" si="104"/>
        <v>2</v>
      </c>
      <c r="AE158" s="773" t="str">
        <f t="shared" si="93"/>
        <v>413050202</v>
      </c>
      <c r="AF158" s="774" t="str">
        <f t="shared" si="94"/>
        <v>پیچ  یاتاقان</v>
      </c>
      <c r="AG158" s="488" t="str">
        <f t="shared" si="95"/>
        <v>Hex Bolt</v>
      </c>
      <c r="AH158" s="488" t="str">
        <f>F158&amp;"-"&amp;G158&amp;"-"&amp;H158&amp;"-"&amp;I158</f>
        <v>M18x70-5.6-Electroplated-Din 933</v>
      </c>
      <c r="AI158" s="194" t="s">
        <v>441</v>
      </c>
      <c r="AJ158" s="865" t="s">
        <v>395</v>
      </c>
      <c r="AK158" s="904" t="s">
        <v>484</v>
      </c>
      <c r="AL158" s="488" t="str">
        <f t="shared" si="100"/>
        <v>Pcs</v>
      </c>
      <c r="AM158" s="1083">
        <f t="shared" si="70"/>
        <v>2</v>
      </c>
      <c r="BD158" s="1120" t="str">
        <f t="shared" si="96"/>
        <v>05</v>
      </c>
      <c r="BE158" s="1121" t="str">
        <f t="shared" si="97"/>
        <v>02</v>
      </c>
      <c r="BF158" s="1121" t="str">
        <f t="shared" si="97"/>
        <v>413050202</v>
      </c>
      <c r="BG158" s="1122" t="str">
        <f t="shared" si="85"/>
        <v>پایه متحرک</v>
      </c>
      <c r="BH158" s="1122">
        <f t="shared" si="85"/>
        <v>1</v>
      </c>
      <c r="BI158" s="1123">
        <f t="shared" si="86"/>
        <v>1</v>
      </c>
    </row>
    <row r="159" spans="1:61" ht="15" x14ac:dyDescent="0.2">
      <c r="A159" s="1171">
        <v>152</v>
      </c>
      <c r="B159" s="194" t="s">
        <v>207</v>
      </c>
      <c r="C159" s="194" t="s">
        <v>184</v>
      </c>
      <c r="D159" s="197" t="s">
        <v>186</v>
      </c>
      <c r="E159" s="197" t="s">
        <v>9</v>
      </c>
      <c r="F159" s="197" t="s">
        <v>196</v>
      </c>
      <c r="G159" s="194">
        <v>5</v>
      </c>
      <c r="H159" s="194" t="s">
        <v>10</v>
      </c>
      <c r="I159" s="194" t="s">
        <v>21</v>
      </c>
      <c r="J159" s="194">
        <v>2</v>
      </c>
      <c r="K159" s="194" t="s">
        <v>30</v>
      </c>
      <c r="L159" s="194">
        <f t="shared" si="105"/>
        <v>2</v>
      </c>
      <c r="M159" s="194">
        <f t="shared" si="106"/>
        <v>2</v>
      </c>
      <c r="N159" s="195">
        <f t="shared" si="78"/>
        <v>0</v>
      </c>
      <c r="O159" s="643"/>
      <c r="P159" s="483">
        <f t="shared" si="87"/>
        <v>413</v>
      </c>
      <c r="Q159" s="484" t="s">
        <v>38</v>
      </c>
      <c r="R159" s="485" t="str">
        <f t="shared" si="88"/>
        <v>پایه متحرک</v>
      </c>
      <c r="S159" s="485">
        <v>1</v>
      </c>
      <c r="T159" s="625" t="s">
        <v>35</v>
      </c>
      <c r="U159" s="485" t="str">
        <f t="shared" si="89"/>
        <v>یاتاقان</v>
      </c>
      <c r="V159" s="194">
        <v>1</v>
      </c>
      <c r="W159" s="625" t="s">
        <v>36</v>
      </c>
      <c r="X159" s="486" t="str">
        <f t="shared" si="90"/>
        <v>413050203</v>
      </c>
      <c r="Y159" s="487" t="str">
        <f t="shared" si="91"/>
        <v>مهره یاتاقان</v>
      </c>
      <c r="Z159" s="194" t="s">
        <v>362</v>
      </c>
      <c r="AA159" s="488">
        <f t="shared" si="92"/>
        <v>2</v>
      </c>
      <c r="AB159" s="666">
        <f t="shared" si="103"/>
        <v>2</v>
      </c>
      <c r="AC159" s="996">
        <f t="shared" si="104"/>
        <v>2</v>
      </c>
      <c r="AE159" s="773" t="str">
        <f t="shared" si="93"/>
        <v>413050203</v>
      </c>
      <c r="AF159" s="774" t="str">
        <f t="shared" si="94"/>
        <v>مهره یاتاقان</v>
      </c>
      <c r="AG159" s="488" t="str">
        <f t="shared" si="95"/>
        <v>Hex Nut</v>
      </c>
      <c r="AH159" s="488" t="str">
        <f t="shared" si="107"/>
        <v>M18-5-Electroplated-Din 934</v>
      </c>
      <c r="AI159" s="1142" t="s">
        <v>442</v>
      </c>
      <c r="AJ159" s="865" t="s">
        <v>396</v>
      </c>
      <c r="AK159" s="904" t="s">
        <v>484</v>
      </c>
      <c r="AL159" s="488" t="str">
        <f t="shared" si="100"/>
        <v>Pcs</v>
      </c>
      <c r="AM159" s="1083">
        <f t="shared" si="70"/>
        <v>2</v>
      </c>
      <c r="BD159" s="1120" t="str">
        <f t="shared" si="96"/>
        <v>05</v>
      </c>
      <c r="BE159" s="1121" t="str">
        <f t="shared" si="97"/>
        <v>03</v>
      </c>
      <c r="BF159" s="1121" t="str">
        <f t="shared" si="97"/>
        <v>413050203</v>
      </c>
      <c r="BG159" s="1122" t="str">
        <f t="shared" si="85"/>
        <v>پایه متحرک</v>
      </c>
      <c r="BH159" s="1122">
        <f t="shared" si="85"/>
        <v>1</v>
      </c>
      <c r="BI159" s="1123">
        <f t="shared" si="86"/>
        <v>1</v>
      </c>
    </row>
    <row r="160" spans="1:61" ht="15" x14ac:dyDescent="0.2">
      <c r="A160" s="1171">
        <v>153</v>
      </c>
      <c r="B160" s="194" t="s">
        <v>207</v>
      </c>
      <c r="C160" s="194" t="s">
        <v>184</v>
      </c>
      <c r="D160" s="197" t="s">
        <v>187</v>
      </c>
      <c r="E160" s="197" t="s">
        <v>193</v>
      </c>
      <c r="F160" s="197" t="s">
        <v>523</v>
      </c>
      <c r="G160" s="194" t="s">
        <v>199</v>
      </c>
      <c r="H160" s="194" t="s">
        <v>10</v>
      </c>
      <c r="I160" s="194" t="s">
        <v>200</v>
      </c>
      <c r="J160" s="194">
        <v>2</v>
      </c>
      <c r="K160" s="194" t="s">
        <v>30</v>
      </c>
      <c r="L160" s="194">
        <f t="shared" si="105"/>
        <v>2</v>
      </c>
      <c r="M160" s="194">
        <f t="shared" si="106"/>
        <v>2</v>
      </c>
      <c r="N160" s="195">
        <f t="shared" si="78"/>
        <v>0</v>
      </c>
      <c r="O160" s="643"/>
      <c r="P160" s="483">
        <f t="shared" si="87"/>
        <v>413</v>
      </c>
      <c r="Q160" s="484" t="s">
        <v>38</v>
      </c>
      <c r="R160" s="485" t="str">
        <f t="shared" si="88"/>
        <v>پایه متحرک</v>
      </c>
      <c r="S160" s="485">
        <v>1</v>
      </c>
      <c r="T160" s="625" t="s">
        <v>35</v>
      </c>
      <c r="U160" s="485" t="str">
        <f t="shared" si="89"/>
        <v>یاتاقان</v>
      </c>
      <c r="V160" s="194">
        <v>1</v>
      </c>
      <c r="W160" s="625" t="s">
        <v>37</v>
      </c>
      <c r="X160" s="486" t="str">
        <f t="shared" si="90"/>
        <v>413050204</v>
      </c>
      <c r="Y160" s="487" t="str">
        <f t="shared" si="91"/>
        <v>واشر تخت یاتاقان</v>
      </c>
      <c r="Z160" s="194" t="s">
        <v>197</v>
      </c>
      <c r="AA160" s="488">
        <f t="shared" si="92"/>
        <v>2</v>
      </c>
      <c r="AB160" s="666">
        <f t="shared" si="103"/>
        <v>2</v>
      </c>
      <c r="AC160" s="996">
        <f t="shared" si="104"/>
        <v>2</v>
      </c>
      <c r="AE160" s="773" t="str">
        <f t="shared" si="93"/>
        <v>413050204</v>
      </c>
      <c r="AF160" s="774" t="str">
        <f t="shared" si="94"/>
        <v>واشر تخت یاتاقان</v>
      </c>
      <c r="AG160" s="488" t="str">
        <f t="shared" si="95"/>
        <v>Flat Washer</v>
      </c>
      <c r="AH160" s="488" t="str">
        <f t="shared" si="107"/>
        <v>A18x35-S-Electroplated-Din 126</v>
      </c>
      <c r="AI160" s="194" t="s">
        <v>443</v>
      </c>
      <c r="AJ160" s="865" t="s">
        <v>397</v>
      </c>
      <c r="AK160" s="904" t="s">
        <v>484</v>
      </c>
      <c r="AL160" s="488" t="str">
        <f t="shared" si="100"/>
        <v>Pcs</v>
      </c>
      <c r="AM160" s="1083">
        <f t="shared" si="70"/>
        <v>2</v>
      </c>
      <c r="BD160" s="1120" t="str">
        <f t="shared" si="96"/>
        <v>05</v>
      </c>
      <c r="BE160" s="1121" t="str">
        <f t="shared" si="97"/>
        <v>04</v>
      </c>
      <c r="BF160" s="1121" t="str">
        <f t="shared" si="97"/>
        <v>413050204</v>
      </c>
      <c r="BG160" s="1122" t="str">
        <f t="shared" si="85"/>
        <v>پایه متحرک</v>
      </c>
      <c r="BH160" s="1122">
        <f t="shared" si="85"/>
        <v>1</v>
      </c>
      <c r="BI160" s="1123">
        <f t="shared" si="86"/>
        <v>1</v>
      </c>
    </row>
    <row r="161" spans="1:61" ht="15" x14ac:dyDescent="0.2">
      <c r="A161" s="1171">
        <v>154</v>
      </c>
      <c r="B161" s="194" t="s">
        <v>207</v>
      </c>
      <c r="C161" s="194" t="s">
        <v>184</v>
      </c>
      <c r="D161" s="197" t="s">
        <v>188</v>
      </c>
      <c r="E161" s="197" t="s">
        <v>18</v>
      </c>
      <c r="F161" s="197" t="s">
        <v>197</v>
      </c>
      <c r="G161" s="194" t="s">
        <v>24</v>
      </c>
      <c r="H161" s="194" t="s">
        <v>10</v>
      </c>
      <c r="I161" s="194" t="s">
        <v>22</v>
      </c>
      <c r="J161" s="194">
        <v>2</v>
      </c>
      <c r="K161" s="194" t="s">
        <v>30</v>
      </c>
      <c r="L161" s="194">
        <f t="shared" si="105"/>
        <v>2</v>
      </c>
      <c r="M161" s="194">
        <f t="shared" si="106"/>
        <v>2</v>
      </c>
      <c r="N161" s="195">
        <f t="shared" si="78"/>
        <v>0</v>
      </c>
      <c r="O161" s="643"/>
      <c r="P161" s="483">
        <f t="shared" si="87"/>
        <v>413</v>
      </c>
      <c r="Q161" s="484" t="s">
        <v>38</v>
      </c>
      <c r="R161" s="485" t="str">
        <f t="shared" si="88"/>
        <v>پایه متحرک</v>
      </c>
      <c r="S161" s="485">
        <v>1</v>
      </c>
      <c r="T161" s="625" t="s">
        <v>35</v>
      </c>
      <c r="U161" s="485" t="str">
        <f t="shared" si="89"/>
        <v>یاتاقان</v>
      </c>
      <c r="V161" s="194">
        <v>1</v>
      </c>
      <c r="W161" s="625" t="s">
        <v>38</v>
      </c>
      <c r="X161" s="486" t="str">
        <f t="shared" si="90"/>
        <v>413050205</v>
      </c>
      <c r="Y161" s="487" t="str">
        <f t="shared" si="91"/>
        <v>واشر فنری یاتاقان</v>
      </c>
      <c r="Z161" s="194" t="s">
        <v>197</v>
      </c>
      <c r="AA161" s="488">
        <f t="shared" si="92"/>
        <v>2</v>
      </c>
      <c r="AB161" s="666">
        <f t="shared" si="103"/>
        <v>2</v>
      </c>
      <c r="AC161" s="996">
        <f t="shared" si="104"/>
        <v>2</v>
      </c>
      <c r="AE161" s="773" t="str">
        <f t="shared" si="93"/>
        <v>413050205</v>
      </c>
      <c r="AF161" s="774" t="str">
        <f t="shared" si="94"/>
        <v>واشر فنری یاتاقان</v>
      </c>
      <c r="AG161" s="488" t="str">
        <f t="shared" si="95"/>
        <v>Spring Washer</v>
      </c>
      <c r="AH161" s="488" t="str">
        <f t="shared" si="107"/>
        <v>A18-F-Electroplated-Din 127</v>
      </c>
      <c r="AI161" s="194" t="s">
        <v>444</v>
      </c>
      <c r="AJ161" s="865" t="s">
        <v>398</v>
      </c>
      <c r="AK161" s="904" t="s">
        <v>484</v>
      </c>
      <c r="AL161" s="488" t="str">
        <f t="shared" si="100"/>
        <v>Pcs</v>
      </c>
      <c r="AM161" s="1083">
        <f t="shared" si="70"/>
        <v>2</v>
      </c>
      <c r="BD161" s="1120" t="str">
        <f t="shared" si="96"/>
        <v>05</v>
      </c>
      <c r="BE161" s="1121" t="str">
        <f t="shared" si="97"/>
        <v>05</v>
      </c>
      <c r="BF161" s="1121" t="str">
        <f t="shared" si="97"/>
        <v>413050205</v>
      </c>
      <c r="BG161" s="1122" t="str">
        <f t="shared" si="85"/>
        <v>پایه متحرک</v>
      </c>
      <c r="BH161" s="1122">
        <f t="shared" si="85"/>
        <v>1</v>
      </c>
      <c r="BI161" s="1123">
        <f t="shared" si="86"/>
        <v>1</v>
      </c>
    </row>
    <row r="162" spans="1:61" ht="15" x14ac:dyDescent="0.2">
      <c r="A162" s="1203">
        <v>155</v>
      </c>
      <c r="B162" s="194" t="s">
        <v>207</v>
      </c>
      <c r="C162" s="194" t="s">
        <v>184</v>
      </c>
      <c r="D162" s="197" t="s">
        <v>189</v>
      </c>
      <c r="E162" s="197" t="s">
        <v>3</v>
      </c>
      <c r="F162" s="197" t="s">
        <v>80</v>
      </c>
      <c r="G162" s="194">
        <v>8</v>
      </c>
      <c r="H162" s="194">
        <v>70</v>
      </c>
      <c r="I162" s="194">
        <v>70</v>
      </c>
      <c r="J162" s="194">
        <v>1</v>
      </c>
      <c r="K162" s="194" t="s">
        <v>29</v>
      </c>
      <c r="L162" s="1151">
        <f>((35*35*3.1415)-(7*7*3.1415))*7.85*8*J162/1000000</f>
        <v>0.23200857119999999</v>
      </c>
      <c r="M162" s="1151">
        <f>L162</f>
        <v>0.23200857119999999</v>
      </c>
      <c r="N162" s="195">
        <f t="shared" si="78"/>
        <v>0</v>
      </c>
      <c r="O162" s="643"/>
      <c r="P162" s="483">
        <f t="shared" si="87"/>
        <v>413</v>
      </c>
      <c r="Q162" s="484" t="s">
        <v>38</v>
      </c>
      <c r="R162" s="485" t="str">
        <f t="shared" si="88"/>
        <v>پایه متحرک</v>
      </c>
      <c r="S162" s="485">
        <v>1</v>
      </c>
      <c r="T162" s="625" t="s">
        <v>35</v>
      </c>
      <c r="U162" s="485" t="str">
        <f t="shared" si="89"/>
        <v>یاتاقان</v>
      </c>
      <c r="V162" s="194">
        <v>1</v>
      </c>
      <c r="W162" s="625" t="s">
        <v>39</v>
      </c>
      <c r="X162" s="486" t="str">
        <f t="shared" si="90"/>
        <v>413050206</v>
      </c>
      <c r="Y162" s="487" t="str">
        <f t="shared" si="91"/>
        <v>واشر استپ پشت یاتاقان</v>
      </c>
      <c r="Z162" s="194" t="s">
        <v>363</v>
      </c>
      <c r="AA162" s="488">
        <f t="shared" si="92"/>
        <v>1</v>
      </c>
      <c r="AB162" s="666">
        <f t="shared" si="103"/>
        <v>1</v>
      </c>
      <c r="AC162" s="996">
        <f t="shared" si="104"/>
        <v>1</v>
      </c>
      <c r="AE162" s="773" t="str">
        <f t="shared" si="93"/>
        <v>413050206</v>
      </c>
      <c r="AF162" s="774" t="str">
        <f t="shared" si="94"/>
        <v>واشر استپ پشت یاتاقان</v>
      </c>
      <c r="AG162" s="488" t="str">
        <f t="shared" si="95"/>
        <v>Plate</v>
      </c>
      <c r="AH162" s="488" t="str">
        <f>F162</f>
        <v>St-37</v>
      </c>
      <c r="AI162" s="194" t="s">
        <v>432</v>
      </c>
      <c r="AJ162" s="865" t="s">
        <v>472</v>
      </c>
      <c r="AK162" s="904" t="s">
        <v>484</v>
      </c>
      <c r="AL162" s="488" t="str">
        <f t="shared" si="100"/>
        <v>Kg</v>
      </c>
      <c r="AM162" s="1083">
        <f t="shared" si="70"/>
        <v>1</v>
      </c>
      <c r="BD162" s="1120" t="str">
        <f t="shared" si="96"/>
        <v>05</v>
      </c>
      <c r="BE162" s="1121" t="str">
        <f t="shared" si="97"/>
        <v>06</v>
      </c>
      <c r="BF162" s="1121" t="str">
        <f t="shared" si="97"/>
        <v>413050206</v>
      </c>
      <c r="BG162" s="1122" t="str">
        <f t="shared" si="85"/>
        <v>پایه متحرک</v>
      </c>
      <c r="BH162" s="1122">
        <f t="shared" si="85"/>
        <v>1</v>
      </c>
      <c r="BI162" s="1123">
        <f t="shared" si="86"/>
        <v>1</v>
      </c>
    </row>
    <row r="163" spans="1:61" ht="15" x14ac:dyDescent="0.2">
      <c r="A163" s="1203">
        <v>156</v>
      </c>
      <c r="B163" s="194" t="s">
        <v>207</v>
      </c>
      <c r="C163" s="194" t="s">
        <v>184</v>
      </c>
      <c r="D163" s="197" t="s">
        <v>190</v>
      </c>
      <c r="E163" s="197" t="s">
        <v>8</v>
      </c>
      <c r="F163" s="197" t="s">
        <v>198</v>
      </c>
      <c r="G163" s="194">
        <v>5.6</v>
      </c>
      <c r="H163" s="194" t="s">
        <v>10</v>
      </c>
      <c r="I163" s="194" t="s">
        <v>20</v>
      </c>
      <c r="J163" s="194">
        <v>1</v>
      </c>
      <c r="K163" s="194" t="s">
        <v>30</v>
      </c>
      <c r="L163" s="194">
        <f t="shared" si="105"/>
        <v>1</v>
      </c>
      <c r="M163" s="194">
        <f t="shared" si="106"/>
        <v>1</v>
      </c>
      <c r="N163" s="195">
        <f t="shared" si="78"/>
        <v>0</v>
      </c>
      <c r="O163" s="643"/>
      <c r="P163" s="483">
        <f t="shared" si="87"/>
        <v>413</v>
      </c>
      <c r="Q163" s="484" t="s">
        <v>38</v>
      </c>
      <c r="R163" s="485" t="str">
        <f t="shared" si="88"/>
        <v>پایه متحرک</v>
      </c>
      <c r="S163" s="485">
        <v>1</v>
      </c>
      <c r="T163" s="625" t="s">
        <v>35</v>
      </c>
      <c r="U163" s="485" t="str">
        <f t="shared" si="89"/>
        <v>یاتاقان</v>
      </c>
      <c r="V163" s="194">
        <v>1</v>
      </c>
      <c r="W163" s="625" t="s">
        <v>40</v>
      </c>
      <c r="X163" s="486" t="str">
        <f t="shared" si="90"/>
        <v>413050207</v>
      </c>
      <c r="Y163" s="487" t="str">
        <f t="shared" si="91"/>
        <v>پیچ واشر استپ</v>
      </c>
      <c r="Z163" s="194" t="s">
        <v>198</v>
      </c>
      <c r="AA163" s="488">
        <f t="shared" si="92"/>
        <v>1</v>
      </c>
      <c r="AB163" s="666">
        <f t="shared" si="103"/>
        <v>1</v>
      </c>
      <c r="AC163" s="996">
        <f t="shared" si="104"/>
        <v>1</v>
      </c>
      <c r="AE163" s="773" t="str">
        <f t="shared" si="93"/>
        <v>413050207</v>
      </c>
      <c r="AF163" s="774" t="str">
        <f t="shared" si="94"/>
        <v>پیچ واشر استپ</v>
      </c>
      <c r="AG163" s="488" t="str">
        <f t="shared" si="95"/>
        <v>Hex Bolt</v>
      </c>
      <c r="AH163" s="488" t="str">
        <f t="shared" si="107"/>
        <v>M14x50-5.6-Electroplated-Din 933</v>
      </c>
      <c r="AI163" s="194" t="s">
        <v>445</v>
      </c>
      <c r="AJ163" s="865" t="s">
        <v>399</v>
      </c>
      <c r="AK163" s="904" t="s">
        <v>484</v>
      </c>
      <c r="AL163" s="488" t="str">
        <f t="shared" si="100"/>
        <v>Pcs</v>
      </c>
      <c r="AM163" s="1083">
        <f t="shared" si="70"/>
        <v>1</v>
      </c>
      <c r="BD163" s="1120" t="str">
        <f t="shared" si="96"/>
        <v>05</v>
      </c>
      <c r="BE163" s="1121" t="str">
        <f t="shared" si="97"/>
        <v>07</v>
      </c>
      <c r="BF163" s="1121" t="str">
        <f t="shared" si="97"/>
        <v>413050207</v>
      </c>
      <c r="BG163" s="1122" t="str">
        <f t="shared" si="85"/>
        <v>پایه متحرک</v>
      </c>
      <c r="BH163" s="1122">
        <f t="shared" si="85"/>
        <v>1</v>
      </c>
      <c r="BI163" s="1123">
        <f t="shared" si="86"/>
        <v>1</v>
      </c>
    </row>
    <row r="164" spans="1:61" ht="15.75" thickBot="1" x14ac:dyDescent="0.25">
      <c r="A164" s="1204">
        <v>157</v>
      </c>
      <c r="B164" s="199" t="s">
        <v>207</v>
      </c>
      <c r="C164" s="199" t="s">
        <v>184</v>
      </c>
      <c r="D164" s="200" t="s">
        <v>191</v>
      </c>
      <c r="E164" s="200" t="s">
        <v>18</v>
      </c>
      <c r="F164" s="200" t="s">
        <v>152</v>
      </c>
      <c r="G164" s="199" t="s">
        <v>24</v>
      </c>
      <c r="H164" s="199" t="s">
        <v>10</v>
      </c>
      <c r="I164" s="199" t="s">
        <v>22</v>
      </c>
      <c r="J164" s="199">
        <v>1</v>
      </c>
      <c r="K164" s="199" t="s">
        <v>30</v>
      </c>
      <c r="L164" s="199">
        <f t="shared" si="105"/>
        <v>1</v>
      </c>
      <c r="M164" s="199">
        <f t="shared" si="106"/>
        <v>1</v>
      </c>
      <c r="N164" s="201">
        <f t="shared" si="78"/>
        <v>0</v>
      </c>
      <c r="O164" s="643"/>
      <c r="P164" s="489">
        <f t="shared" si="87"/>
        <v>413</v>
      </c>
      <c r="Q164" s="490" t="s">
        <v>38</v>
      </c>
      <c r="R164" s="491" t="str">
        <f t="shared" si="88"/>
        <v>پایه متحرک</v>
      </c>
      <c r="S164" s="491">
        <v>1</v>
      </c>
      <c r="T164" s="987" t="s">
        <v>35</v>
      </c>
      <c r="U164" s="491" t="str">
        <f t="shared" si="89"/>
        <v>یاتاقان</v>
      </c>
      <c r="V164" s="988">
        <v>1</v>
      </c>
      <c r="W164" s="987" t="s">
        <v>41</v>
      </c>
      <c r="X164" s="492" t="str">
        <f t="shared" si="90"/>
        <v>413050208</v>
      </c>
      <c r="Y164" s="493" t="str">
        <f t="shared" si="91"/>
        <v>واشر فنری واشر استپ</v>
      </c>
      <c r="Z164" s="988" t="s">
        <v>152</v>
      </c>
      <c r="AA164" s="494">
        <f t="shared" si="92"/>
        <v>1</v>
      </c>
      <c r="AB164" s="997">
        <f t="shared" si="103"/>
        <v>1</v>
      </c>
      <c r="AC164" s="998">
        <f t="shared" si="104"/>
        <v>1</v>
      </c>
      <c r="AE164" s="1079" t="str">
        <f t="shared" si="93"/>
        <v>413050208</v>
      </c>
      <c r="AF164" s="1080" t="str">
        <f t="shared" si="94"/>
        <v>واشر فنری واشر استپ</v>
      </c>
      <c r="AG164" s="494" t="str">
        <f t="shared" si="95"/>
        <v>Spring Washer</v>
      </c>
      <c r="AH164" s="494" t="str">
        <f t="shared" si="107"/>
        <v>A14-F-Electroplated-Din 127</v>
      </c>
      <c r="AI164" s="988" t="s">
        <v>430</v>
      </c>
      <c r="AJ164" s="1149" t="s">
        <v>391</v>
      </c>
      <c r="AK164" s="1081" t="s">
        <v>484</v>
      </c>
      <c r="AL164" s="494" t="str">
        <f t="shared" si="100"/>
        <v>Pcs</v>
      </c>
      <c r="AM164" s="1084">
        <f t="shared" si="70"/>
        <v>1</v>
      </c>
      <c r="BD164" s="1120" t="str">
        <f t="shared" si="96"/>
        <v>05</v>
      </c>
      <c r="BE164" s="1121" t="str">
        <f t="shared" si="97"/>
        <v>08</v>
      </c>
      <c r="BF164" s="1121" t="str">
        <f t="shared" si="97"/>
        <v>413050208</v>
      </c>
      <c r="BG164" s="1122" t="str">
        <f t="shared" si="85"/>
        <v>پایه متحرک</v>
      </c>
      <c r="BH164" s="1122">
        <f t="shared" si="85"/>
        <v>1</v>
      </c>
      <c r="BI164" s="1123">
        <f t="shared" si="86"/>
        <v>1</v>
      </c>
    </row>
    <row r="165" spans="1:61" ht="15" x14ac:dyDescent="0.2">
      <c r="A165" s="1170">
        <v>158</v>
      </c>
      <c r="B165" s="180" t="s">
        <v>207</v>
      </c>
      <c r="C165" s="180" t="s">
        <v>239</v>
      </c>
      <c r="D165" s="186" t="s">
        <v>203</v>
      </c>
      <c r="E165" s="186" t="s">
        <v>8</v>
      </c>
      <c r="F165" s="186" t="s">
        <v>206</v>
      </c>
      <c r="G165" s="180">
        <v>5.6</v>
      </c>
      <c r="H165" s="180" t="s">
        <v>10</v>
      </c>
      <c r="I165" s="180" t="s">
        <v>20</v>
      </c>
      <c r="J165" s="180">
        <v>6</v>
      </c>
      <c r="K165" s="180" t="s">
        <v>30</v>
      </c>
      <c r="L165" s="180">
        <f t="shared" si="105"/>
        <v>6</v>
      </c>
      <c r="M165" s="180">
        <f t="shared" si="106"/>
        <v>6</v>
      </c>
      <c r="N165" s="191">
        <f t="shared" si="78"/>
        <v>0</v>
      </c>
      <c r="O165" s="643"/>
      <c r="P165" s="423">
        <f t="shared" si="87"/>
        <v>413</v>
      </c>
      <c r="Q165" s="424" t="s">
        <v>38</v>
      </c>
      <c r="R165" s="425" t="str">
        <f t="shared" si="88"/>
        <v>پایه متحرک</v>
      </c>
      <c r="S165" s="425">
        <v>1</v>
      </c>
      <c r="T165" s="622" t="s">
        <v>36</v>
      </c>
      <c r="U165" s="425" t="str">
        <f t="shared" si="89"/>
        <v>اتصالات پایه متحرک</v>
      </c>
      <c r="V165" s="180">
        <v>1</v>
      </c>
      <c r="W165" s="622" t="s">
        <v>34</v>
      </c>
      <c r="X165" s="427" t="str">
        <f t="shared" si="90"/>
        <v>413050301</v>
      </c>
      <c r="Y165" s="428" t="str">
        <f t="shared" si="91"/>
        <v>پیچ رولپلاگ</v>
      </c>
      <c r="Z165" s="180" t="s">
        <v>205</v>
      </c>
      <c r="AA165" s="426">
        <f t="shared" si="92"/>
        <v>6</v>
      </c>
      <c r="AB165" s="663">
        <f t="shared" si="103"/>
        <v>6</v>
      </c>
      <c r="AC165" s="983">
        <f t="shared" si="104"/>
        <v>6</v>
      </c>
      <c r="AE165" s="797" t="str">
        <f t="shared" si="93"/>
        <v>413050301</v>
      </c>
      <c r="AF165" s="798" t="str">
        <f t="shared" si="94"/>
        <v>پیچ رولپلاگ</v>
      </c>
      <c r="AG165" s="426" t="str">
        <f t="shared" si="95"/>
        <v>Hex Bolt</v>
      </c>
      <c r="AH165" s="426" t="str">
        <f t="shared" si="107"/>
        <v>M8x80-5.6-Electroplated-Din 933</v>
      </c>
      <c r="AI165" s="180" t="s">
        <v>525</v>
      </c>
      <c r="AJ165" s="866" t="s">
        <v>401</v>
      </c>
      <c r="AK165" s="900" t="s">
        <v>484</v>
      </c>
      <c r="AL165" s="426" t="str">
        <f t="shared" si="100"/>
        <v>Pcs</v>
      </c>
      <c r="AM165" s="1065">
        <f t="shared" si="70"/>
        <v>6</v>
      </c>
      <c r="BD165" s="1120" t="str">
        <f t="shared" si="96"/>
        <v>05</v>
      </c>
      <c r="BE165" s="1121" t="str">
        <f t="shared" si="97"/>
        <v>01</v>
      </c>
      <c r="BF165" s="1121" t="str">
        <f t="shared" si="97"/>
        <v>413050301</v>
      </c>
      <c r="BG165" s="1122" t="str">
        <f t="shared" si="85"/>
        <v>پایه متحرک</v>
      </c>
      <c r="BH165" s="1122">
        <f t="shared" si="85"/>
        <v>1</v>
      </c>
      <c r="BI165" s="1123">
        <f t="shared" si="86"/>
        <v>1</v>
      </c>
    </row>
    <row r="166" spans="1:61" ht="15.75" thickBot="1" x14ac:dyDescent="0.25">
      <c r="A166" s="1174">
        <v>159</v>
      </c>
      <c r="B166" s="188" t="s">
        <v>207</v>
      </c>
      <c r="C166" s="188" t="s">
        <v>239</v>
      </c>
      <c r="D166" s="189" t="s">
        <v>204</v>
      </c>
      <c r="E166" s="189" t="s">
        <v>240</v>
      </c>
      <c r="F166" s="189" t="s">
        <v>205</v>
      </c>
      <c r="G166" s="188" t="s">
        <v>2</v>
      </c>
      <c r="H166" s="188" t="s">
        <v>2</v>
      </c>
      <c r="I166" s="188" t="s">
        <v>2</v>
      </c>
      <c r="J166" s="188">
        <v>6</v>
      </c>
      <c r="K166" s="188" t="s">
        <v>30</v>
      </c>
      <c r="L166" s="188">
        <f t="shared" si="105"/>
        <v>6</v>
      </c>
      <c r="M166" s="188">
        <f t="shared" si="106"/>
        <v>6</v>
      </c>
      <c r="N166" s="190">
        <f t="shared" si="78"/>
        <v>0</v>
      </c>
      <c r="O166" s="643"/>
      <c r="P166" s="435">
        <f t="shared" si="87"/>
        <v>413</v>
      </c>
      <c r="Q166" s="436" t="s">
        <v>38</v>
      </c>
      <c r="R166" s="437" t="str">
        <f t="shared" si="88"/>
        <v>پایه متحرک</v>
      </c>
      <c r="S166" s="437">
        <v>1</v>
      </c>
      <c r="T166" s="825" t="s">
        <v>36</v>
      </c>
      <c r="U166" s="437" t="str">
        <f t="shared" si="89"/>
        <v>اتصالات پایه متحرک</v>
      </c>
      <c r="V166" s="982">
        <v>1</v>
      </c>
      <c r="W166" s="825" t="s">
        <v>35</v>
      </c>
      <c r="X166" s="439" t="str">
        <f t="shared" si="90"/>
        <v>413050302</v>
      </c>
      <c r="Y166" s="440" t="str">
        <f t="shared" si="91"/>
        <v>رولپلاگ</v>
      </c>
      <c r="Z166" s="982" t="s">
        <v>205</v>
      </c>
      <c r="AA166" s="438">
        <f t="shared" si="92"/>
        <v>6</v>
      </c>
      <c r="AB166" s="985">
        <f t="shared" si="103"/>
        <v>6</v>
      </c>
      <c r="AC166" s="986">
        <f t="shared" si="104"/>
        <v>6</v>
      </c>
      <c r="AE166" s="801" t="str">
        <f t="shared" si="93"/>
        <v>413050302</v>
      </c>
      <c r="AF166" s="802" t="str">
        <f t="shared" si="94"/>
        <v>رولپلاگ</v>
      </c>
      <c r="AG166" s="565" t="str">
        <f t="shared" si="95"/>
        <v>Raw plug</v>
      </c>
      <c r="AH166" s="565" t="str">
        <f>F166</f>
        <v>8x80</v>
      </c>
      <c r="AI166" s="188" t="s">
        <v>204</v>
      </c>
      <c r="AJ166" s="863" t="s">
        <v>402</v>
      </c>
      <c r="AK166" s="902" t="s">
        <v>484</v>
      </c>
      <c r="AL166" s="565" t="str">
        <f t="shared" si="100"/>
        <v>Pcs</v>
      </c>
      <c r="AM166" s="1078">
        <f t="shared" si="70"/>
        <v>6</v>
      </c>
      <c r="BD166" s="1120" t="str">
        <f t="shared" si="96"/>
        <v>05</v>
      </c>
      <c r="BE166" s="1121" t="str">
        <f t="shared" si="97"/>
        <v>02</v>
      </c>
      <c r="BF166" s="1121" t="str">
        <f t="shared" si="97"/>
        <v>413050302</v>
      </c>
      <c r="BG166" s="1122" t="str">
        <f t="shared" si="85"/>
        <v>پایه متحرک</v>
      </c>
      <c r="BH166" s="1122">
        <f t="shared" si="85"/>
        <v>1</v>
      </c>
      <c r="BI166" s="1123">
        <f t="shared" si="86"/>
        <v>1</v>
      </c>
    </row>
    <row r="167" spans="1:61" ht="15" x14ac:dyDescent="0.2">
      <c r="A167" s="1170">
        <v>160</v>
      </c>
      <c r="B167" s="202" t="s">
        <v>241</v>
      </c>
      <c r="C167" s="202" t="s">
        <v>241</v>
      </c>
      <c r="D167" s="215" t="s">
        <v>242</v>
      </c>
      <c r="E167" s="215" t="s">
        <v>3</v>
      </c>
      <c r="F167" s="215" t="s">
        <v>4</v>
      </c>
      <c r="G167" s="202">
        <v>2</v>
      </c>
      <c r="H167" s="202">
        <f>IF(E1=1500,986,IF(E1=2000,984,IF(E1=2500,984,984)))</f>
        <v>984</v>
      </c>
      <c r="I167" s="202">
        <f>IF(E1=1500,2354,IF(E1=2000,986,IF(E1=2500,984,984)))</f>
        <v>986</v>
      </c>
      <c r="J167" s="202">
        <v>1</v>
      </c>
      <c r="K167" s="202" t="s">
        <v>29</v>
      </c>
      <c r="L167" s="203">
        <f t="shared" ref="L167:L175" si="108">G167*H167*I167*J167*7.85/1000000</f>
        <v>15.232516799999999</v>
      </c>
      <c r="M167" s="202">
        <f>((((1000-(INT(1000/H167)*H167))/(INT(1000/H167)))+H167)*G167*I167*J167*7.85)/1000000</f>
        <v>15.4802</v>
      </c>
      <c r="N167" s="204">
        <f t="shared" si="78"/>
        <v>1.6260162601626073E-2</v>
      </c>
      <c r="O167" s="642"/>
      <c r="P167" s="566">
        <f t="shared" si="87"/>
        <v>413</v>
      </c>
      <c r="Q167" s="567" t="s">
        <v>39</v>
      </c>
      <c r="R167" s="568" t="str">
        <f t="shared" si="88"/>
        <v>قاب</v>
      </c>
      <c r="S167" s="568">
        <v>1</v>
      </c>
      <c r="T167" s="626" t="s">
        <v>34</v>
      </c>
      <c r="U167" s="568" t="str">
        <f t="shared" si="89"/>
        <v>قاب</v>
      </c>
      <c r="V167" s="202">
        <v>1</v>
      </c>
      <c r="W167" s="626" t="s">
        <v>34</v>
      </c>
      <c r="X167" s="569" t="str">
        <f t="shared" si="90"/>
        <v>413060101</v>
      </c>
      <c r="Y167" s="570" t="str">
        <f t="shared" si="91"/>
        <v>سینی شماره 1</v>
      </c>
      <c r="Z167" s="695" t="str">
        <f>G167&amp;"x"&amp;H167&amp;"x"&amp;I167</f>
        <v>2x984x986</v>
      </c>
      <c r="AA167" s="571">
        <f t="shared" si="92"/>
        <v>1</v>
      </c>
      <c r="AB167" s="667">
        <f t="shared" si="103"/>
        <v>1</v>
      </c>
      <c r="AC167" s="989">
        <f t="shared" si="104"/>
        <v>1</v>
      </c>
      <c r="AE167" s="1036" t="str">
        <f t="shared" si="93"/>
        <v>413060101</v>
      </c>
      <c r="AF167" s="1037" t="str">
        <f t="shared" si="94"/>
        <v>سینی شماره 1</v>
      </c>
      <c r="AG167" s="1038" t="str">
        <f t="shared" si="95"/>
        <v>Plate</v>
      </c>
      <c r="AH167" s="1038" t="str">
        <f>F167</f>
        <v>H.D.G</v>
      </c>
      <c r="AI167" s="1039" t="s">
        <v>414</v>
      </c>
      <c r="AJ167" s="1085" t="s">
        <v>465</v>
      </c>
      <c r="AK167" s="1040">
        <f>M167/J167</f>
        <v>15.4802</v>
      </c>
      <c r="AL167" s="1038" t="str">
        <f t="shared" si="100"/>
        <v>Kg</v>
      </c>
      <c r="AM167" s="1041">
        <f t="shared" ref="AM167:AM203" si="109">AK167*AC167</f>
        <v>15.4802</v>
      </c>
      <c r="BD167" s="1120" t="str">
        <f t="shared" si="96"/>
        <v>06</v>
      </c>
      <c r="BE167" s="1121" t="str">
        <f t="shared" si="97"/>
        <v>01</v>
      </c>
      <c r="BF167" s="1121" t="str">
        <f t="shared" si="97"/>
        <v>413060101</v>
      </c>
      <c r="BG167" s="1122" t="str">
        <f t="shared" si="85"/>
        <v>قاب</v>
      </c>
      <c r="BH167" s="1122">
        <f t="shared" si="85"/>
        <v>1</v>
      </c>
      <c r="BI167" s="1123">
        <f t="shared" si="86"/>
        <v>1</v>
      </c>
    </row>
    <row r="168" spans="1:61" ht="15" x14ac:dyDescent="0.2">
      <c r="A168" s="1171">
        <v>161</v>
      </c>
      <c r="B168" s="205" t="s">
        <v>241</v>
      </c>
      <c r="C168" s="205" t="s">
        <v>241</v>
      </c>
      <c r="D168" s="216" t="s">
        <v>243</v>
      </c>
      <c r="E168" s="216" t="s">
        <v>3</v>
      </c>
      <c r="F168" s="216" t="s">
        <v>4</v>
      </c>
      <c r="G168" s="205">
        <v>2</v>
      </c>
      <c r="H168" s="205">
        <f>IF(E1=1500,1140,IF(E1=2000,838,IF(E1=2500,523,752)))</f>
        <v>838</v>
      </c>
      <c r="I168" s="205">
        <f>IF(E1=1500,2354,IF(E1=2000,451,IF(E1=2500,1294,1920)))</f>
        <v>451</v>
      </c>
      <c r="J168" s="205">
        <v>1</v>
      </c>
      <c r="K168" s="205" t="s">
        <v>29</v>
      </c>
      <c r="L168" s="206">
        <f t="shared" si="108"/>
        <v>5.9336265999999993</v>
      </c>
      <c r="M168" s="205">
        <f>IF(E1=1500,((((1250-(INT(1250/H168)*H168))/(INT(1250/H168)))+H168)*G168*I168*J168*7.85)/1000000,IF(E1=2000,((((1000-(INT(1000/H168)*H168))/(INT(1000/H168)))+H168)*G168*I168*J168*7.85)/1000000,IF(E1=2500,((((1250-(INT(1250/H168)*H168))/(INT(1250/H168)))+H168)*G168*I168*J168*7.85)/1000000,((((1000-(INT(1000/H168)*H168))/(INT(1000/H168)))+H168)*G168*I168*J168*7.85)/1000000)))</f>
        <v>7.0807000000000002</v>
      </c>
      <c r="N168" s="207">
        <f t="shared" si="78"/>
        <v>0.19331742243436772</v>
      </c>
      <c r="O168" s="642"/>
      <c r="P168" s="578">
        <f t="shared" si="87"/>
        <v>413</v>
      </c>
      <c r="Q168" s="579" t="s">
        <v>39</v>
      </c>
      <c r="R168" s="580" t="str">
        <f t="shared" si="88"/>
        <v>قاب</v>
      </c>
      <c r="S168" s="580">
        <v>1</v>
      </c>
      <c r="T168" s="627" t="s">
        <v>34</v>
      </c>
      <c r="U168" s="580" t="str">
        <f t="shared" si="89"/>
        <v>قاب</v>
      </c>
      <c r="V168" s="205">
        <v>1</v>
      </c>
      <c r="W168" s="627" t="s">
        <v>35</v>
      </c>
      <c r="X168" s="581" t="str">
        <f t="shared" si="90"/>
        <v>413060102</v>
      </c>
      <c r="Y168" s="582" t="str">
        <f t="shared" si="91"/>
        <v>سینی شماره 2</v>
      </c>
      <c r="Z168" s="205" t="str">
        <f>G168&amp;"x"&amp;H168&amp;"x"&amp;I168</f>
        <v>2x838x451</v>
      </c>
      <c r="AA168" s="583">
        <f t="shared" si="92"/>
        <v>1</v>
      </c>
      <c r="AB168" s="668">
        <f t="shared" si="103"/>
        <v>1</v>
      </c>
      <c r="AC168" s="990">
        <f t="shared" si="104"/>
        <v>1</v>
      </c>
      <c r="AE168" s="1042" t="str">
        <f t="shared" si="93"/>
        <v>413060102</v>
      </c>
      <c r="AF168" s="1043" t="str">
        <f t="shared" si="94"/>
        <v>سینی شماره 2</v>
      </c>
      <c r="AG168" s="1044" t="str">
        <f t="shared" si="95"/>
        <v>Plate</v>
      </c>
      <c r="AH168" s="1044" t="str">
        <f t="shared" ref="AH168:AH175" si="110">F168</f>
        <v>H.D.G</v>
      </c>
      <c r="AI168" s="1045" t="str">
        <f>IF(E1=1500,"ورق گالوانیزه 1250*2",IF(E1=2000,"ورق گالوانیزه 1000*2",IF(E1=2500,"ورق گالوانیزه 1250*2","ورق گالوانیزه *1000")))</f>
        <v>ورق گالوانیزه 1000*2</v>
      </c>
      <c r="AJ168" s="1086" t="str">
        <f>IF(AI168="ورق گالوانیزه 1000*2",AJ167,"000"&amp;AJ167+25)</f>
        <v>000140200100</v>
      </c>
      <c r="AK168" s="1046">
        <f t="shared" ref="AK168" si="111">M168/J168</f>
        <v>7.0807000000000002</v>
      </c>
      <c r="AL168" s="1044" t="str">
        <f t="shared" si="100"/>
        <v>Kg</v>
      </c>
      <c r="AM168" s="1047">
        <f t="shared" si="109"/>
        <v>7.0807000000000002</v>
      </c>
      <c r="BD168" s="1120" t="str">
        <f t="shared" si="96"/>
        <v>06</v>
      </c>
      <c r="BE168" s="1121" t="str">
        <f t="shared" si="97"/>
        <v>02</v>
      </c>
      <c r="BF168" s="1121" t="str">
        <f t="shared" si="97"/>
        <v>413060102</v>
      </c>
      <c r="BG168" s="1122" t="str">
        <f t="shared" si="85"/>
        <v>قاب</v>
      </c>
      <c r="BH168" s="1122">
        <f t="shared" si="85"/>
        <v>1</v>
      </c>
      <c r="BI168" s="1123">
        <f t="shared" si="86"/>
        <v>1</v>
      </c>
    </row>
    <row r="169" spans="1:61" ht="15" x14ac:dyDescent="0.2">
      <c r="A169" s="1171">
        <v>162</v>
      </c>
      <c r="B169" s="205" t="s">
        <v>241</v>
      </c>
      <c r="C169" s="205" t="s">
        <v>241</v>
      </c>
      <c r="D169" s="216" t="s">
        <v>244</v>
      </c>
      <c r="E169" s="216" t="s">
        <v>3</v>
      </c>
      <c r="F169" s="216" t="s">
        <v>4</v>
      </c>
      <c r="G169" s="205">
        <v>2</v>
      </c>
      <c r="H169" s="205">
        <f>IF(E1=1500,0,IF(E1=2000,971,IF(E1=2500,984,984)))</f>
        <v>971</v>
      </c>
      <c r="I169" s="205">
        <f>IF(E1=1500,0,IF(E1=2000,984,IF(E1=2500,984,984)))</f>
        <v>984</v>
      </c>
      <c r="J169" s="205">
        <f>IF($E$1=1500,0,1)</f>
        <v>1</v>
      </c>
      <c r="K169" s="205" t="s">
        <v>29</v>
      </c>
      <c r="L169" s="206">
        <f t="shared" si="108"/>
        <v>15.000784799999998</v>
      </c>
      <c r="M169" s="205">
        <f>IF(J169=0,0,((((1000-(INT(1000/H169)*H169))/(INT(1000/H169)))+H169)*G169*I169*J169*7.85)/1000000)</f>
        <v>15.4488</v>
      </c>
      <c r="N169" s="207">
        <f>IF(J169=0,0,(M169-L169)/L169)</f>
        <v>2.9866117404737533E-2</v>
      </c>
      <c r="O169" s="642"/>
      <c r="P169" s="578">
        <f t="shared" si="87"/>
        <v>413</v>
      </c>
      <c r="Q169" s="579" t="s">
        <v>39</v>
      </c>
      <c r="R169" s="580" t="str">
        <f t="shared" si="88"/>
        <v>قاب</v>
      </c>
      <c r="S169" s="580">
        <v>1</v>
      </c>
      <c r="T169" s="627" t="s">
        <v>34</v>
      </c>
      <c r="U169" s="580" t="str">
        <f t="shared" si="89"/>
        <v>قاب</v>
      </c>
      <c r="V169" s="205">
        <v>1</v>
      </c>
      <c r="W169" s="627" t="s">
        <v>36</v>
      </c>
      <c r="X169" s="581" t="str">
        <f t="shared" si="90"/>
        <v>413060103</v>
      </c>
      <c r="Y169" s="582" t="str">
        <f t="shared" si="91"/>
        <v>سینی شماره 3</v>
      </c>
      <c r="Z169" s="205" t="str">
        <f t="shared" ref="Z169:Z175" si="112">G169&amp;"x"&amp;H169&amp;"x"&amp;I169</f>
        <v>2x971x984</v>
      </c>
      <c r="AA169" s="583">
        <f t="shared" si="92"/>
        <v>1</v>
      </c>
      <c r="AB169" s="668">
        <f t="shared" si="103"/>
        <v>1</v>
      </c>
      <c r="AC169" s="990">
        <f t="shared" si="104"/>
        <v>1</v>
      </c>
      <c r="AE169" s="1042" t="str">
        <f t="shared" si="93"/>
        <v>413060103</v>
      </c>
      <c r="AF169" s="1043" t="str">
        <f t="shared" si="94"/>
        <v>سینی شماره 3</v>
      </c>
      <c r="AG169" s="1044" t="str">
        <f t="shared" si="95"/>
        <v>Plate</v>
      </c>
      <c r="AH169" s="1044" t="str">
        <f t="shared" si="110"/>
        <v>H.D.G</v>
      </c>
      <c r="AI169" s="1045" t="s">
        <v>414</v>
      </c>
      <c r="AJ169" s="1048" t="s">
        <v>465</v>
      </c>
      <c r="AK169" s="1046">
        <f>IF(J169=0,0,M169/J169)</f>
        <v>15.4488</v>
      </c>
      <c r="AL169" s="1044" t="str">
        <f t="shared" si="100"/>
        <v>Kg</v>
      </c>
      <c r="AM169" s="1047">
        <f t="shared" si="109"/>
        <v>15.4488</v>
      </c>
      <c r="BD169" s="1120" t="str">
        <f t="shared" si="96"/>
        <v>06</v>
      </c>
      <c r="BE169" s="1121" t="str">
        <f t="shared" si="97"/>
        <v>03</v>
      </c>
      <c r="BF169" s="1121" t="str">
        <f t="shared" si="97"/>
        <v>413060103</v>
      </c>
      <c r="BG169" s="1122" t="str">
        <f t="shared" si="85"/>
        <v>قاب</v>
      </c>
      <c r="BH169" s="1122">
        <f t="shared" si="85"/>
        <v>1</v>
      </c>
      <c r="BI169" s="1123">
        <f t="shared" si="86"/>
        <v>1</v>
      </c>
    </row>
    <row r="170" spans="1:61" ht="15" x14ac:dyDescent="0.2">
      <c r="A170" s="1171">
        <v>163</v>
      </c>
      <c r="B170" s="205" t="s">
        <v>241</v>
      </c>
      <c r="C170" s="205" t="s">
        <v>241</v>
      </c>
      <c r="D170" s="216" t="s">
        <v>245</v>
      </c>
      <c r="E170" s="216" t="s">
        <v>3</v>
      </c>
      <c r="F170" s="216" t="s">
        <v>4</v>
      </c>
      <c r="G170" s="205">
        <v>2</v>
      </c>
      <c r="H170" s="205">
        <f>IF(E1=1500,0,IF(E1=2000,838,IF(E1=2500,401,789)))</f>
        <v>838</v>
      </c>
      <c r="I170" s="205">
        <f>IF(E1=1500,0,IF(E1=2000,340,IF(E1=2500,1294,1750)))</f>
        <v>340</v>
      </c>
      <c r="J170" s="205">
        <f t="shared" ref="J170:J174" si="113">IF($E$1=1500,0,1)</f>
        <v>1</v>
      </c>
      <c r="K170" s="205" t="s">
        <v>29</v>
      </c>
      <c r="L170" s="206">
        <f t="shared" si="108"/>
        <v>4.4732440000000002</v>
      </c>
      <c r="M170" s="205">
        <f t="shared" ref="M170:M175" si="114">IF(J170=0,0,((((1000-(INT(1000/H170)*H170))/(INT(1000/H170)))+H170)*G170*I170*J170*7.85)/1000000)</f>
        <v>5.3380000000000001</v>
      </c>
      <c r="N170" s="207">
        <f t="shared" ref="N170:N175" si="115">IF(J170=0,0,(M170-L170)/L170)</f>
        <v>0.1933174224343675</v>
      </c>
      <c r="O170" s="642"/>
      <c r="P170" s="578">
        <f t="shared" si="87"/>
        <v>413</v>
      </c>
      <c r="Q170" s="579" t="s">
        <v>39</v>
      </c>
      <c r="R170" s="580" t="str">
        <f t="shared" si="88"/>
        <v>قاب</v>
      </c>
      <c r="S170" s="580">
        <v>1</v>
      </c>
      <c r="T170" s="627" t="s">
        <v>34</v>
      </c>
      <c r="U170" s="580" t="str">
        <f t="shared" si="89"/>
        <v>قاب</v>
      </c>
      <c r="V170" s="205">
        <v>1</v>
      </c>
      <c r="W170" s="627" t="s">
        <v>37</v>
      </c>
      <c r="X170" s="581" t="str">
        <f t="shared" si="90"/>
        <v>413060104</v>
      </c>
      <c r="Y170" s="582" t="str">
        <f t="shared" si="91"/>
        <v>سینی شماره 4</v>
      </c>
      <c r="Z170" s="205" t="str">
        <f t="shared" si="112"/>
        <v>2x838x340</v>
      </c>
      <c r="AA170" s="583">
        <f t="shared" si="92"/>
        <v>1</v>
      </c>
      <c r="AB170" s="668">
        <f t="shared" si="103"/>
        <v>1</v>
      </c>
      <c r="AC170" s="990">
        <f t="shared" si="104"/>
        <v>1</v>
      </c>
      <c r="AE170" s="1042" t="str">
        <f t="shared" si="93"/>
        <v>413060104</v>
      </c>
      <c r="AF170" s="1043" t="str">
        <f t="shared" si="94"/>
        <v>سینی شماره 4</v>
      </c>
      <c r="AG170" s="1044" t="str">
        <f t="shared" si="95"/>
        <v>Plate</v>
      </c>
      <c r="AH170" s="1044" t="str">
        <f t="shared" si="110"/>
        <v>H.D.G</v>
      </c>
      <c r="AI170" s="1045" t="s">
        <v>414</v>
      </c>
      <c r="AJ170" s="1048" t="s">
        <v>465</v>
      </c>
      <c r="AK170" s="1046">
        <f t="shared" ref="AK170:AK171" si="116">IF(J170=0,0,M170/J170)</f>
        <v>5.3380000000000001</v>
      </c>
      <c r="AL170" s="1044" t="str">
        <f t="shared" si="100"/>
        <v>Kg</v>
      </c>
      <c r="AM170" s="1047">
        <f t="shared" si="109"/>
        <v>5.3380000000000001</v>
      </c>
      <c r="BD170" s="1120" t="str">
        <f t="shared" si="96"/>
        <v>06</v>
      </c>
      <c r="BE170" s="1121" t="str">
        <f t="shared" si="97"/>
        <v>04</v>
      </c>
      <c r="BF170" s="1121" t="str">
        <f t="shared" si="97"/>
        <v>413060104</v>
      </c>
      <c r="BG170" s="1122" t="str">
        <f t="shared" si="85"/>
        <v>قاب</v>
      </c>
      <c r="BH170" s="1122">
        <f t="shared" si="85"/>
        <v>1</v>
      </c>
      <c r="BI170" s="1123">
        <f t="shared" si="86"/>
        <v>1</v>
      </c>
    </row>
    <row r="171" spans="1:61" ht="15" x14ac:dyDescent="0.2">
      <c r="A171" s="1171">
        <v>164</v>
      </c>
      <c r="B171" s="205" t="s">
        <v>241</v>
      </c>
      <c r="C171" s="205" t="s">
        <v>241</v>
      </c>
      <c r="D171" s="216" t="s">
        <v>246</v>
      </c>
      <c r="E171" s="216" t="s">
        <v>3</v>
      </c>
      <c r="F171" s="216" t="s">
        <v>4</v>
      </c>
      <c r="G171" s="205">
        <v>2</v>
      </c>
      <c r="H171" s="205">
        <f>IF(E1=1500,0,IF(E1=2000,984,IF(E1=2500,984,984)))</f>
        <v>984</v>
      </c>
      <c r="I171" s="205">
        <f>IF(E1=1500,0,IF(E1=2000,986,IF(E1=2500,984,984)))</f>
        <v>986</v>
      </c>
      <c r="J171" s="205">
        <f t="shared" si="113"/>
        <v>1</v>
      </c>
      <c r="K171" s="205" t="s">
        <v>29</v>
      </c>
      <c r="L171" s="206">
        <f t="shared" si="108"/>
        <v>15.232516799999999</v>
      </c>
      <c r="M171" s="205">
        <f t="shared" si="114"/>
        <v>15.4802</v>
      </c>
      <c r="N171" s="207">
        <f t="shared" si="115"/>
        <v>1.6260162601626073E-2</v>
      </c>
      <c r="O171" s="642"/>
      <c r="P171" s="578">
        <f t="shared" si="87"/>
        <v>413</v>
      </c>
      <c r="Q171" s="579" t="s">
        <v>39</v>
      </c>
      <c r="R171" s="580" t="str">
        <f t="shared" si="88"/>
        <v>قاب</v>
      </c>
      <c r="S171" s="580">
        <v>1</v>
      </c>
      <c r="T171" s="627" t="s">
        <v>34</v>
      </c>
      <c r="U171" s="580" t="str">
        <f t="shared" si="89"/>
        <v>قاب</v>
      </c>
      <c r="V171" s="205">
        <v>1</v>
      </c>
      <c r="W171" s="627" t="s">
        <v>38</v>
      </c>
      <c r="X171" s="581" t="str">
        <f t="shared" si="90"/>
        <v>413060105</v>
      </c>
      <c r="Y171" s="582" t="str">
        <f t="shared" si="91"/>
        <v>سینی شماره 5</v>
      </c>
      <c r="Z171" s="205" t="str">
        <f t="shared" si="112"/>
        <v>2x984x986</v>
      </c>
      <c r="AA171" s="583">
        <f t="shared" si="92"/>
        <v>1</v>
      </c>
      <c r="AB171" s="668">
        <f t="shared" si="103"/>
        <v>1</v>
      </c>
      <c r="AC171" s="990">
        <f t="shared" si="104"/>
        <v>1</v>
      </c>
      <c r="AE171" s="1042" t="str">
        <f t="shared" si="93"/>
        <v>413060105</v>
      </c>
      <c r="AF171" s="1043" t="str">
        <f t="shared" si="94"/>
        <v>سینی شماره 5</v>
      </c>
      <c r="AG171" s="1044" t="str">
        <f t="shared" si="95"/>
        <v>Plate</v>
      </c>
      <c r="AH171" s="1044" t="str">
        <f t="shared" si="110"/>
        <v>H.D.G</v>
      </c>
      <c r="AI171" s="1045" t="s">
        <v>414</v>
      </c>
      <c r="AJ171" s="1048" t="s">
        <v>465</v>
      </c>
      <c r="AK171" s="1046">
        <f t="shared" si="116"/>
        <v>15.4802</v>
      </c>
      <c r="AL171" s="1044" t="str">
        <f t="shared" si="100"/>
        <v>Kg</v>
      </c>
      <c r="AM171" s="1047">
        <f t="shared" si="109"/>
        <v>15.4802</v>
      </c>
      <c r="BD171" s="1120" t="str">
        <f t="shared" si="96"/>
        <v>06</v>
      </c>
      <c r="BE171" s="1121" t="str">
        <f t="shared" si="97"/>
        <v>05</v>
      </c>
      <c r="BF171" s="1121" t="str">
        <f t="shared" si="97"/>
        <v>413060105</v>
      </c>
      <c r="BG171" s="1122" t="str">
        <f t="shared" si="85"/>
        <v>قاب</v>
      </c>
      <c r="BH171" s="1122">
        <f t="shared" si="85"/>
        <v>1</v>
      </c>
      <c r="BI171" s="1123">
        <f t="shared" si="86"/>
        <v>1</v>
      </c>
    </row>
    <row r="172" spans="1:61" ht="15" x14ac:dyDescent="0.2">
      <c r="A172" s="1171">
        <v>165</v>
      </c>
      <c r="B172" s="205" t="s">
        <v>241</v>
      </c>
      <c r="C172" s="205" t="s">
        <v>241</v>
      </c>
      <c r="D172" s="216" t="s">
        <v>247</v>
      </c>
      <c r="E172" s="216" t="s">
        <v>3</v>
      </c>
      <c r="F172" s="216" t="s">
        <v>4</v>
      </c>
      <c r="G172" s="205">
        <v>2</v>
      </c>
      <c r="H172" s="205">
        <f>IF(E1=1500,0,IF(E1=2000,838,IF(E1=2500,523,752)))</f>
        <v>838</v>
      </c>
      <c r="I172" s="205">
        <f>IF(E1=1500,0,IF(E1=2000,451,IF(E1=2500,1294,1920)))</f>
        <v>451</v>
      </c>
      <c r="J172" s="205">
        <f t="shared" si="113"/>
        <v>1</v>
      </c>
      <c r="K172" s="205" t="s">
        <v>29</v>
      </c>
      <c r="L172" s="206">
        <f t="shared" si="108"/>
        <v>5.9336265999999993</v>
      </c>
      <c r="M172" s="205">
        <f t="shared" si="114"/>
        <v>7.0807000000000002</v>
      </c>
      <c r="N172" s="207">
        <f t="shared" si="115"/>
        <v>0.19331742243436772</v>
      </c>
      <c r="O172" s="642"/>
      <c r="P172" s="578">
        <f t="shared" si="87"/>
        <v>413</v>
      </c>
      <c r="Q172" s="579" t="s">
        <v>39</v>
      </c>
      <c r="R172" s="580" t="str">
        <f t="shared" si="88"/>
        <v>قاب</v>
      </c>
      <c r="S172" s="580">
        <v>1</v>
      </c>
      <c r="T172" s="627" t="s">
        <v>34</v>
      </c>
      <c r="U172" s="580" t="str">
        <f t="shared" si="89"/>
        <v>قاب</v>
      </c>
      <c r="V172" s="205">
        <v>1</v>
      </c>
      <c r="W172" s="627" t="s">
        <v>39</v>
      </c>
      <c r="X172" s="581" t="str">
        <f t="shared" si="90"/>
        <v>413060106</v>
      </c>
      <c r="Y172" s="582" t="str">
        <f t="shared" si="91"/>
        <v>سینی شماره 6</v>
      </c>
      <c r="Z172" s="205" t="str">
        <f t="shared" si="112"/>
        <v>2x838x451</v>
      </c>
      <c r="AA172" s="583">
        <f t="shared" si="92"/>
        <v>1</v>
      </c>
      <c r="AB172" s="668">
        <f t="shared" si="103"/>
        <v>1</v>
      </c>
      <c r="AC172" s="990">
        <f t="shared" si="104"/>
        <v>1</v>
      </c>
      <c r="AE172" s="1042" t="str">
        <f t="shared" si="93"/>
        <v>413060106</v>
      </c>
      <c r="AF172" s="1043" t="str">
        <f t="shared" si="94"/>
        <v>سینی شماره 6</v>
      </c>
      <c r="AG172" s="1044" t="str">
        <f t="shared" si="95"/>
        <v>Plate</v>
      </c>
      <c r="AH172" s="1044" t="str">
        <f t="shared" si="110"/>
        <v>H.D.G</v>
      </c>
      <c r="AI172" s="1045" t="str">
        <f>IF(E1=1500,"ورق گالوانیزه 1250*2",IF(E1=2000,"ورق گالوانیزه 1000*2",IF(E1=2500,"ورق گالوانیزه 1250*2","ورق گالوانیزه *1000")))</f>
        <v>ورق گالوانیزه 1000*2</v>
      </c>
      <c r="AJ172" s="1086" t="str">
        <f>IF(AI172="ورق گالوانیزه 1000*2",AJ171,"000"&amp;AJ171+25)</f>
        <v>000140200100</v>
      </c>
      <c r="AK172" s="1046">
        <f>IF(J172=0,0,M172/J172)</f>
        <v>7.0807000000000002</v>
      </c>
      <c r="AL172" s="1044" t="str">
        <f t="shared" si="100"/>
        <v>Kg</v>
      </c>
      <c r="AM172" s="1047">
        <f t="shared" si="109"/>
        <v>7.0807000000000002</v>
      </c>
      <c r="BD172" s="1120" t="str">
        <f t="shared" si="96"/>
        <v>06</v>
      </c>
      <c r="BE172" s="1121" t="str">
        <f t="shared" si="97"/>
        <v>06</v>
      </c>
      <c r="BF172" s="1121" t="str">
        <f t="shared" si="97"/>
        <v>413060106</v>
      </c>
      <c r="BG172" s="1122" t="str">
        <f t="shared" si="85"/>
        <v>قاب</v>
      </c>
      <c r="BH172" s="1122">
        <f t="shared" si="85"/>
        <v>1</v>
      </c>
      <c r="BI172" s="1123">
        <f t="shared" si="86"/>
        <v>1</v>
      </c>
    </row>
    <row r="173" spans="1:61" ht="15" x14ac:dyDescent="0.2">
      <c r="A173" s="1171">
        <v>166</v>
      </c>
      <c r="B173" s="205" t="s">
        <v>241</v>
      </c>
      <c r="C173" s="205" t="s">
        <v>241</v>
      </c>
      <c r="D173" s="216" t="s">
        <v>248</v>
      </c>
      <c r="E173" s="216" t="s">
        <v>3</v>
      </c>
      <c r="F173" s="216" t="s">
        <v>4</v>
      </c>
      <c r="G173" s="205">
        <v>2</v>
      </c>
      <c r="H173" s="205">
        <f>IF(E1=1500,0,IF(E1=2000,971,IF(E1=2500,984,984)))</f>
        <v>971</v>
      </c>
      <c r="I173" s="205">
        <f>IF(E1=1500,0,IF(E1=2000,984,IF(E1=2500,984,984)))</f>
        <v>984</v>
      </c>
      <c r="J173" s="205">
        <f t="shared" si="113"/>
        <v>1</v>
      </c>
      <c r="K173" s="205" t="s">
        <v>29</v>
      </c>
      <c r="L173" s="206">
        <f t="shared" si="108"/>
        <v>15.000784799999998</v>
      </c>
      <c r="M173" s="205">
        <f t="shared" si="114"/>
        <v>15.4488</v>
      </c>
      <c r="N173" s="207">
        <f t="shared" si="115"/>
        <v>2.9866117404737533E-2</v>
      </c>
      <c r="O173" s="642"/>
      <c r="P173" s="578">
        <f t="shared" si="87"/>
        <v>413</v>
      </c>
      <c r="Q173" s="579" t="s">
        <v>39</v>
      </c>
      <c r="R173" s="580" t="str">
        <f t="shared" si="88"/>
        <v>قاب</v>
      </c>
      <c r="S173" s="580">
        <v>1</v>
      </c>
      <c r="T173" s="627" t="s">
        <v>34</v>
      </c>
      <c r="U173" s="580" t="str">
        <f t="shared" si="89"/>
        <v>قاب</v>
      </c>
      <c r="V173" s="205">
        <v>1</v>
      </c>
      <c r="W173" s="627" t="s">
        <v>40</v>
      </c>
      <c r="X173" s="581" t="str">
        <f t="shared" si="90"/>
        <v>413060107</v>
      </c>
      <c r="Y173" s="582" t="str">
        <f t="shared" si="91"/>
        <v>سینی شماره 7</v>
      </c>
      <c r="Z173" s="205" t="str">
        <f t="shared" si="112"/>
        <v>2x971x984</v>
      </c>
      <c r="AA173" s="583">
        <f t="shared" si="92"/>
        <v>1</v>
      </c>
      <c r="AB173" s="668">
        <f t="shared" si="103"/>
        <v>1</v>
      </c>
      <c r="AC173" s="990">
        <f t="shared" si="104"/>
        <v>1</v>
      </c>
      <c r="AE173" s="1042" t="str">
        <f t="shared" si="93"/>
        <v>413060107</v>
      </c>
      <c r="AF173" s="1043" t="str">
        <f t="shared" si="94"/>
        <v>سینی شماره 7</v>
      </c>
      <c r="AG173" s="1044" t="str">
        <f t="shared" si="95"/>
        <v>Plate</v>
      </c>
      <c r="AH173" s="1044" t="str">
        <f t="shared" si="110"/>
        <v>H.D.G</v>
      </c>
      <c r="AI173" s="1045" t="s">
        <v>414</v>
      </c>
      <c r="AJ173" s="1048" t="s">
        <v>465</v>
      </c>
      <c r="AK173" s="1046">
        <f>IF(J173=0,0,M173/J173)</f>
        <v>15.4488</v>
      </c>
      <c r="AL173" s="1044" t="str">
        <f t="shared" si="100"/>
        <v>Kg</v>
      </c>
      <c r="AM173" s="1047">
        <f t="shared" si="109"/>
        <v>15.4488</v>
      </c>
      <c r="BD173" s="1120" t="str">
        <f t="shared" si="96"/>
        <v>06</v>
      </c>
      <c r="BE173" s="1121" t="str">
        <f t="shared" si="97"/>
        <v>07</v>
      </c>
      <c r="BF173" s="1121" t="str">
        <f t="shared" si="97"/>
        <v>413060107</v>
      </c>
      <c r="BG173" s="1122" t="str">
        <f t="shared" si="85"/>
        <v>قاب</v>
      </c>
      <c r="BH173" s="1122">
        <f t="shared" si="85"/>
        <v>1</v>
      </c>
      <c r="BI173" s="1123">
        <f t="shared" si="86"/>
        <v>1</v>
      </c>
    </row>
    <row r="174" spans="1:61" ht="15" x14ac:dyDescent="0.2">
      <c r="A174" s="1171">
        <v>167</v>
      </c>
      <c r="B174" s="205" t="s">
        <v>241</v>
      </c>
      <c r="C174" s="205" t="s">
        <v>241</v>
      </c>
      <c r="D174" s="216" t="s">
        <v>249</v>
      </c>
      <c r="E174" s="216" t="s">
        <v>3</v>
      </c>
      <c r="F174" s="216" t="s">
        <v>4</v>
      </c>
      <c r="G174" s="205">
        <v>2</v>
      </c>
      <c r="H174" s="205">
        <f>IF(E1=1500,0,IF(E1=2000,838,IF(E1=2500,553,485)))</f>
        <v>838</v>
      </c>
      <c r="I174" s="205">
        <f>IF(E1=1500,0,IF(E1=2000,490,IF(E1=2500,1294,1750)))</f>
        <v>490</v>
      </c>
      <c r="J174" s="205">
        <f t="shared" si="113"/>
        <v>1</v>
      </c>
      <c r="K174" s="205" t="s">
        <v>29</v>
      </c>
      <c r="L174" s="206">
        <f t="shared" si="108"/>
        <v>6.4467340000000002</v>
      </c>
      <c r="M174" s="205">
        <f t="shared" si="114"/>
        <v>7.6929999999999996</v>
      </c>
      <c r="N174" s="207">
        <f t="shared" si="115"/>
        <v>0.19331742243436745</v>
      </c>
      <c r="O174" s="642"/>
      <c r="P174" s="578">
        <f t="shared" si="87"/>
        <v>413</v>
      </c>
      <c r="Q174" s="579" t="s">
        <v>39</v>
      </c>
      <c r="R174" s="580" t="str">
        <f t="shared" si="88"/>
        <v>قاب</v>
      </c>
      <c r="S174" s="580">
        <v>1</v>
      </c>
      <c r="T174" s="627" t="s">
        <v>34</v>
      </c>
      <c r="U174" s="580" t="str">
        <f t="shared" si="89"/>
        <v>قاب</v>
      </c>
      <c r="V174" s="205">
        <v>1</v>
      </c>
      <c r="W174" s="627" t="s">
        <v>41</v>
      </c>
      <c r="X174" s="581" t="str">
        <f t="shared" si="90"/>
        <v>413060108</v>
      </c>
      <c r="Y174" s="582" t="str">
        <f t="shared" si="91"/>
        <v>سینی شماره 8</v>
      </c>
      <c r="Z174" s="205" t="str">
        <f t="shared" si="112"/>
        <v>2x838x490</v>
      </c>
      <c r="AA174" s="583">
        <f t="shared" si="92"/>
        <v>1</v>
      </c>
      <c r="AB174" s="668">
        <f t="shared" si="103"/>
        <v>1</v>
      </c>
      <c r="AC174" s="990">
        <f t="shared" si="104"/>
        <v>1</v>
      </c>
      <c r="AE174" s="1042" t="str">
        <f t="shared" si="93"/>
        <v>413060108</v>
      </c>
      <c r="AF174" s="1043" t="str">
        <f t="shared" si="94"/>
        <v>سینی شماره 8</v>
      </c>
      <c r="AG174" s="1044" t="str">
        <f t="shared" si="95"/>
        <v>Plate</v>
      </c>
      <c r="AH174" s="1044" t="str">
        <f t="shared" si="110"/>
        <v>H.D.G</v>
      </c>
      <c r="AI174" s="1045" t="str">
        <f>IF(E1=1500,"ورق گالوانیزه 1250*2",IF(E1=2000,"ورق گالوانیزه 1000*2",IF(E1=2500,"ورق گالوانیزه 1250*2","ورق گالوانیزه *1000")))</f>
        <v>ورق گالوانیزه 1000*2</v>
      </c>
      <c r="AJ174" s="1086" t="str">
        <f>IF(AI174="ورق گالوانیزه 1000*2",AJ173,"000"&amp;AJ173+25)</f>
        <v>000140200100</v>
      </c>
      <c r="AK174" s="1046">
        <f>IF(J174=0,0,M174/J174)</f>
        <v>7.6929999999999996</v>
      </c>
      <c r="AL174" s="1044" t="str">
        <f t="shared" si="100"/>
        <v>Kg</v>
      </c>
      <c r="AM174" s="1047">
        <f t="shared" si="109"/>
        <v>7.6929999999999996</v>
      </c>
      <c r="BD174" s="1120" t="str">
        <f t="shared" si="96"/>
        <v>06</v>
      </c>
      <c r="BE174" s="1121" t="str">
        <f t="shared" si="97"/>
        <v>08</v>
      </c>
      <c r="BF174" s="1121" t="str">
        <f t="shared" si="97"/>
        <v>413060108</v>
      </c>
      <c r="BG174" s="1122" t="str">
        <f t="shared" si="85"/>
        <v>قاب</v>
      </c>
      <c r="BH174" s="1122">
        <f t="shared" si="85"/>
        <v>1</v>
      </c>
      <c r="BI174" s="1123">
        <f t="shared" si="86"/>
        <v>1</v>
      </c>
    </row>
    <row r="175" spans="1:61" ht="15.75" thickBot="1" x14ac:dyDescent="0.25">
      <c r="A175" s="1174">
        <v>168</v>
      </c>
      <c r="B175" s="217" t="s">
        <v>241</v>
      </c>
      <c r="C175" s="217" t="s">
        <v>241</v>
      </c>
      <c r="D175" s="220" t="s">
        <v>315</v>
      </c>
      <c r="E175" s="220" t="s">
        <v>3</v>
      </c>
      <c r="F175" s="220" t="s">
        <v>4</v>
      </c>
      <c r="G175" s="217">
        <v>2</v>
      </c>
      <c r="H175" s="217">
        <f>IF(E1=1500,0,IF(E1=2000,80,IF(E1=2500,80,80)))</f>
        <v>80</v>
      </c>
      <c r="I175" s="217">
        <f>IF(E1=1500,0,IF(E1=2000,2584,IF(E1=2500,3040,3496)))</f>
        <v>2584</v>
      </c>
      <c r="J175" s="217">
        <f>IF($E$1=1500,0,2)</f>
        <v>2</v>
      </c>
      <c r="K175" s="217" t="s">
        <v>29</v>
      </c>
      <c r="L175" s="221">
        <f t="shared" si="108"/>
        <v>6.4910079999999999</v>
      </c>
      <c r="M175" s="205">
        <f t="shared" si="114"/>
        <v>6.7614666666666663</v>
      </c>
      <c r="N175" s="207">
        <f t="shared" si="115"/>
        <v>4.166666666666663E-2</v>
      </c>
      <c r="O175" s="642"/>
      <c r="P175" s="572">
        <f t="shared" si="87"/>
        <v>413</v>
      </c>
      <c r="Q175" s="573" t="s">
        <v>39</v>
      </c>
      <c r="R175" s="574" t="str">
        <f t="shared" si="88"/>
        <v>قاب</v>
      </c>
      <c r="S175" s="574">
        <v>1</v>
      </c>
      <c r="T175" s="991" t="s">
        <v>34</v>
      </c>
      <c r="U175" s="574" t="str">
        <f t="shared" si="89"/>
        <v>قاب</v>
      </c>
      <c r="V175" s="992">
        <v>1</v>
      </c>
      <c r="W175" s="991" t="s">
        <v>42</v>
      </c>
      <c r="X175" s="575" t="str">
        <f t="shared" si="90"/>
        <v>413060109</v>
      </c>
      <c r="Y175" s="576" t="str">
        <f t="shared" si="91"/>
        <v>ناودانی تقویتی سینی</v>
      </c>
      <c r="Z175" s="992" t="str">
        <f t="shared" si="112"/>
        <v>2x80x2584</v>
      </c>
      <c r="AA175" s="577">
        <f t="shared" si="92"/>
        <v>2</v>
      </c>
      <c r="AB175" s="993">
        <f t="shared" si="103"/>
        <v>2</v>
      </c>
      <c r="AC175" s="994">
        <f t="shared" si="104"/>
        <v>2</v>
      </c>
      <c r="AE175" s="1087" t="str">
        <f t="shared" si="93"/>
        <v>413060109</v>
      </c>
      <c r="AF175" s="1088" t="str">
        <f t="shared" si="94"/>
        <v>ناودانی تقویتی سینی</v>
      </c>
      <c r="AG175" s="1089" t="str">
        <f t="shared" si="95"/>
        <v>Plate</v>
      </c>
      <c r="AH175" s="1089" t="str">
        <f t="shared" si="110"/>
        <v>H.D.G</v>
      </c>
      <c r="AI175" s="1090" t="s">
        <v>414</v>
      </c>
      <c r="AJ175" s="1091" t="s">
        <v>465</v>
      </c>
      <c r="AK175" s="1046">
        <f>IF(J175=0,0,M175/J175)</f>
        <v>3.3807333333333331</v>
      </c>
      <c r="AL175" s="1089" t="str">
        <f t="shared" si="100"/>
        <v>Kg</v>
      </c>
      <c r="AM175" s="1092">
        <f t="shared" si="109"/>
        <v>6.7614666666666663</v>
      </c>
      <c r="BD175" s="1120" t="str">
        <f t="shared" si="96"/>
        <v>06</v>
      </c>
      <c r="BE175" s="1121" t="str">
        <f t="shared" si="97"/>
        <v>09</v>
      </c>
      <c r="BF175" s="1121" t="str">
        <f t="shared" si="97"/>
        <v>413060109</v>
      </c>
      <c r="BG175" s="1122" t="str">
        <f t="shared" si="85"/>
        <v>قاب</v>
      </c>
      <c r="BH175" s="1122">
        <f t="shared" si="85"/>
        <v>1</v>
      </c>
      <c r="BI175" s="1123">
        <f t="shared" si="86"/>
        <v>1</v>
      </c>
    </row>
    <row r="176" spans="1:61" ht="15" x14ac:dyDescent="0.2">
      <c r="A176" s="1170">
        <v>169</v>
      </c>
      <c r="B176" s="208" t="s">
        <v>241</v>
      </c>
      <c r="C176" s="208" t="s">
        <v>250</v>
      </c>
      <c r="D176" s="212" t="s">
        <v>251</v>
      </c>
      <c r="E176" s="212" t="s">
        <v>8</v>
      </c>
      <c r="F176" s="212" t="s">
        <v>26</v>
      </c>
      <c r="G176" s="208">
        <v>5.6</v>
      </c>
      <c r="H176" s="208" t="s">
        <v>10</v>
      </c>
      <c r="I176" s="208" t="s">
        <v>20</v>
      </c>
      <c r="J176" s="310">
        <f>IF(E1=1500,6,IF(E1=2000,22,IF(E1=2500,28,24)))</f>
        <v>22</v>
      </c>
      <c r="K176" s="208" t="s">
        <v>30</v>
      </c>
      <c r="L176" s="208">
        <f>J176</f>
        <v>22</v>
      </c>
      <c r="M176" s="208">
        <f>J176</f>
        <v>22</v>
      </c>
      <c r="N176" s="209">
        <f>(M176-L176)/L176</f>
        <v>0</v>
      </c>
      <c r="O176" s="642"/>
      <c r="P176" s="330">
        <f t="shared" si="87"/>
        <v>413</v>
      </c>
      <c r="Q176" s="331" t="s">
        <v>39</v>
      </c>
      <c r="R176" s="332" t="str">
        <f t="shared" si="88"/>
        <v>قاب</v>
      </c>
      <c r="S176" s="332">
        <v>1</v>
      </c>
      <c r="T176" s="628" t="s">
        <v>35</v>
      </c>
      <c r="U176" s="332" t="str">
        <f t="shared" si="89"/>
        <v>اتصالات قاب</v>
      </c>
      <c r="V176" s="208">
        <v>1</v>
      </c>
      <c r="W176" s="628" t="s">
        <v>34</v>
      </c>
      <c r="X176" s="334" t="str">
        <f t="shared" si="90"/>
        <v>413060201</v>
      </c>
      <c r="Y176" s="335" t="str">
        <f t="shared" si="91"/>
        <v>پیچ اتصال سینی</v>
      </c>
      <c r="Z176" s="208" t="s">
        <v>26</v>
      </c>
      <c r="AA176" s="333">
        <f t="shared" si="92"/>
        <v>22</v>
      </c>
      <c r="AB176" s="669">
        <f t="shared" si="103"/>
        <v>22</v>
      </c>
      <c r="AC176" s="948">
        <f t="shared" si="104"/>
        <v>22</v>
      </c>
      <c r="AE176" s="765" t="str">
        <f t="shared" si="93"/>
        <v>413060201</v>
      </c>
      <c r="AF176" s="766" t="str">
        <f t="shared" si="94"/>
        <v>پیچ اتصال سینی</v>
      </c>
      <c r="AG176" s="333" t="str">
        <f t="shared" si="95"/>
        <v>Hex Bolt</v>
      </c>
      <c r="AH176" s="333" t="str">
        <f t="shared" si="107"/>
        <v>M8x20-5.6-Electroplated-Din 933</v>
      </c>
      <c r="AI176" s="208" t="s">
        <v>415</v>
      </c>
      <c r="AJ176" s="867" t="s">
        <v>109</v>
      </c>
      <c r="AK176" s="906" t="s">
        <v>484</v>
      </c>
      <c r="AL176" s="333" t="str">
        <f t="shared" si="100"/>
        <v>Pcs</v>
      </c>
      <c r="AM176" s="1049">
        <f t="shared" si="109"/>
        <v>22</v>
      </c>
      <c r="BD176" s="1120" t="str">
        <f t="shared" si="96"/>
        <v>06</v>
      </c>
      <c r="BE176" s="1121" t="str">
        <f t="shared" si="97"/>
        <v>01</v>
      </c>
      <c r="BF176" s="1121" t="str">
        <f t="shared" si="97"/>
        <v>413060201</v>
      </c>
      <c r="BG176" s="1122" t="str">
        <f t="shared" si="85"/>
        <v>قاب</v>
      </c>
      <c r="BH176" s="1122">
        <f t="shared" si="85"/>
        <v>1</v>
      </c>
      <c r="BI176" s="1123">
        <f t="shared" si="86"/>
        <v>1</v>
      </c>
    </row>
    <row r="177" spans="1:61" ht="15" x14ac:dyDescent="0.2">
      <c r="A177" s="1171">
        <v>170</v>
      </c>
      <c r="B177" s="210" t="s">
        <v>241</v>
      </c>
      <c r="C177" s="210" t="s">
        <v>250</v>
      </c>
      <c r="D177" s="213" t="s">
        <v>252</v>
      </c>
      <c r="E177" s="213" t="s">
        <v>9</v>
      </c>
      <c r="F177" s="213" t="s">
        <v>27</v>
      </c>
      <c r="G177" s="210">
        <v>5</v>
      </c>
      <c r="H177" s="210" t="s">
        <v>10</v>
      </c>
      <c r="I177" s="210" t="s">
        <v>21</v>
      </c>
      <c r="J177" s="267">
        <f>J176</f>
        <v>22</v>
      </c>
      <c r="K177" s="210" t="s">
        <v>30</v>
      </c>
      <c r="L177" s="210">
        <f t="shared" ref="L177:L181" si="117">J177</f>
        <v>22</v>
      </c>
      <c r="M177" s="210">
        <f t="shared" ref="M177:M181" si="118">J177</f>
        <v>22</v>
      </c>
      <c r="N177" s="211">
        <f t="shared" ref="N177:N183" si="119">(M177-L177)/L177</f>
        <v>0</v>
      </c>
      <c r="O177" s="642"/>
      <c r="P177" s="336">
        <f t="shared" si="87"/>
        <v>413</v>
      </c>
      <c r="Q177" s="337" t="s">
        <v>39</v>
      </c>
      <c r="R177" s="338" t="str">
        <f t="shared" si="88"/>
        <v>قاب</v>
      </c>
      <c r="S177" s="338">
        <v>1</v>
      </c>
      <c r="T177" s="629" t="s">
        <v>35</v>
      </c>
      <c r="U177" s="338" t="str">
        <f t="shared" si="89"/>
        <v>اتصالات قاب</v>
      </c>
      <c r="V177" s="210">
        <v>1</v>
      </c>
      <c r="W177" s="629" t="s">
        <v>35</v>
      </c>
      <c r="X177" s="340" t="str">
        <f t="shared" si="90"/>
        <v>413060202</v>
      </c>
      <c r="Y177" s="341" t="str">
        <f t="shared" si="91"/>
        <v>مهره اتصال سینی</v>
      </c>
      <c r="Z177" s="210" t="s">
        <v>340</v>
      </c>
      <c r="AA177" s="339">
        <f t="shared" si="92"/>
        <v>22</v>
      </c>
      <c r="AB177" s="670">
        <f t="shared" si="103"/>
        <v>22</v>
      </c>
      <c r="AC177" s="949">
        <f t="shared" si="104"/>
        <v>22</v>
      </c>
      <c r="AE177" s="767" t="str">
        <f t="shared" si="93"/>
        <v>413060202</v>
      </c>
      <c r="AF177" s="768" t="str">
        <f t="shared" si="94"/>
        <v>مهره اتصال سینی</v>
      </c>
      <c r="AG177" s="339" t="str">
        <f t="shared" si="95"/>
        <v>Hex Nut</v>
      </c>
      <c r="AH177" s="339" t="str">
        <f t="shared" si="107"/>
        <v>M8-5-Electroplated-Din 934</v>
      </c>
      <c r="AI177" s="1139" t="s">
        <v>416</v>
      </c>
      <c r="AJ177" s="868" t="s">
        <v>110</v>
      </c>
      <c r="AK177" s="907" t="s">
        <v>484</v>
      </c>
      <c r="AL177" s="339" t="str">
        <f t="shared" si="100"/>
        <v>Pcs</v>
      </c>
      <c r="AM177" s="1050">
        <f t="shared" si="109"/>
        <v>22</v>
      </c>
      <c r="BD177" s="1120" t="str">
        <f t="shared" si="96"/>
        <v>06</v>
      </c>
      <c r="BE177" s="1121" t="str">
        <f t="shared" si="97"/>
        <v>02</v>
      </c>
      <c r="BF177" s="1121" t="str">
        <f t="shared" si="97"/>
        <v>413060202</v>
      </c>
      <c r="BG177" s="1122" t="str">
        <f t="shared" si="85"/>
        <v>قاب</v>
      </c>
      <c r="BH177" s="1122">
        <f t="shared" si="85"/>
        <v>1</v>
      </c>
      <c r="BI177" s="1123">
        <f t="shared" si="86"/>
        <v>1</v>
      </c>
    </row>
    <row r="178" spans="1:61" ht="15" x14ac:dyDescent="0.2">
      <c r="A178" s="1171">
        <v>171</v>
      </c>
      <c r="B178" s="210" t="s">
        <v>241</v>
      </c>
      <c r="C178" s="210" t="s">
        <v>250</v>
      </c>
      <c r="D178" s="213" t="s">
        <v>253</v>
      </c>
      <c r="E178" s="213" t="s">
        <v>8</v>
      </c>
      <c r="F178" s="213" t="s">
        <v>163</v>
      </c>
      <c r="G178" s="210">
        <v>5.6</v>
      </c>
      <c r="H178" s="210" t="s">
        <v>10</v>
      </c>
      <c r="I178" s="210" t="s">
        <v>20</v>
      </c>
      <c r="J178" s="267">
        <v>2</v>
      </c>
      <c r="K178" s="210" t="s">
        <v>30</v>
      </c>
      <c r="L178" s="210">
        <f t="shared" si="117"/>
        <v>2</v>
      </c>
      <c r="M178" s="210">
        <f t="shared" si="118"/>
        <v>2</v>
      </c>
      <c r="N178" s="211">
        <f t="shared" si="119"/>
        <v>0</v>
      </c>
      <c r="O178" s="642"/>
      <c r="P178" s="336">
        <f t="shared" si="87"/>
        <v>413</v>
      </c>
      <c r="Q178" s="337" t="s">
        <v>39</v>
      </c>
      <c r="R178" s="338" t="str">
        <f t="shared" si="88"/>
        <v>قاب</v>
      </c>
      <c r="S178" s="338">
        <v>1</v>
      </c>
      <c r="T178" s="629" t="s">
        <v>35</v>
      </c>
      <c r="U178" s="338" t="str">
        <f t="shared" si="89"/>
        <v>اتصالات قاب</v>
      </c>
      <c r="V178" s="210">
        <v>1</v>
      </c>
      <c r="W178" s="629" t="s">
        <v>36</v>
      </c>
      <c r="X178" s="340" t="str">
        <f t="shared" si="90"/>
        <v>413060203</v>
      </c>
      <c r="Y178" s="341" t="str">
        <f t="shared" si="91"/>
        <v>پیچ اتصال نبشی</v>
      </c>
      <c r="Z178" s="210" t="s">
        <v>163</v>
      </c>
      <c r="AA178" s="339">
        <f t="shared" si="92"/>
        <v>2</v>
      </c>
      <c r="AB178" s="670">
        <f t="shared" si="103"/>
        <v>2</v>
      </c>
      <c r="AC178" s="949">
        <f t="shared" si="104"/>
        <v>2</v>
      </c>
      <c r="AE178" s="767" t="str">
        <f t="shared" si="93"/>
        <v>413060203</v>
      </c>
      <c r="AF178" s="768" t="str">
        <f t="shared" si="94"/>
        <v>پیچ اتصال نبشی</v>
      </c>
      <c r="AG178" s="339" t="str">
        <f t="shared" si="95"/>
        <v>Hex Bolt</v>
      </c>
      <c r="AH178" s="339" t="str">
        <f t="shared" si="107"/>
        <v>M8x30-5.6-Electroplated-Din 933</v>
      </c>
      <c r="AI178" s="210" t="s">
        <v>433</v>
      </c>
      <c r="AJ178" s="868" t="s">
        <v>392</v>
      </c>
      <c r="AK178" s="907" t="s">
        <v>484</v>
      </c>
      <c r="AL178" s="339" t="str">
        <f t="shared" si="100"/>
        <v>Pcs</v>
      </c>
      <c r="AM178" s="1050">
        <f t="shared" si="109"/>
        <v>2</v>
      </c>
      <c r="BD178" s="1120" t="str">
        <f t="shared" si="96"/>
        <v>06</v>
      </c>
      <c r="BE178" s="1121" t="str">
        <f t="shared" si="97"/>
        <v>03</v>
      </c>
      <c r="BF178" s="1121" t="str">
        <f t="shared" si="97"/>
        <v>413060203</v>
      </c>
      <c r="BG178" s="1122" t="str">
        <f t="shared" si="85"/>
        <v>قاب</v>
      </c>
      <c r="BH178" s="1122">
        <f t="shared" si="85"/>
        <v>1</v>
      </c>
      <c r="BI178" s="1123">
        <f t="shared" si="86"/>
        <v>1</v>
      </c>
    </row>
    <row r="179" spans="1:61" ht="15" x14ac:dyDescent="0.2">
      <c r="A179" s="1171">
        <v>172</v>
      </c>
      <c r="B179" s="210" t="s">
        <v>241</v>
      </c>
      <c r="C179" s="210" t="s">
        <v>250</v>
      </c>
      <c r="D179" s="213" t="s">
        <v>254</v>
      </c>
      <c r="E179" s="213" t="s">
        <v>9</v>
      </c>
      <c r="F179" s="213" t="s">
        <v>27</v>
      </c>
      <c r="G179" s="210">
        <v>5</v>
      </c>
      <c r="H179" s="210" t="s">
        <v>10</v>
      </c>
      <c r="I179" s="210" t="s">
        <v>21</v>
      </c>
      <c r="J179" s="267">
        <v>2</v>
      </c>
      <c r="K179" s="210" t="s">
        <v>30</v>
      </c>
      <c r="L179" s="210">
        <f t="shared" si="117"/>
        <v>2</v>
      </c>
      <c r="M179" s="210">
        <f t="shared" si="118"/>
        <v>2</v>
      </c>
      <c r="N179" s="211">
        <f t="shared" si="119"/>
        <v>0</v>
      </c>
      <c r="O179" s="642"/>
      <c r="P179" s="336">
        <f t="shared" si="87"/>
        <v>413</v>
      </c>
      <c r="Q179" s="337" t="s">
        <v>39</v>
      </c>
      <c r="R179" s="338" t="str">
        <f t="shared" si="88"/>
        <v>قاب</v>
      </c>
      <c r="S179" s="338">
        <v>1</v>
      </c>
      <c r="T179" s="629" t="s">
        <v>35</v>
      </c>
      <c r="U179" s="338" t="str">
        <f t="shared" si="89"/>
        <v>اتصالات قاب</v>
      </c>
      <c r="V179" s="210">
        <v>1</v>
      </c>
      <c r="W179" s="629" t="s">
        <v>37</v>
      </c>
      <c r="X179" s="340" t="str">
        <f t="shared" si="90"/>
        <v>413060204</v>
      </c>
      <c r="Y179" s="341" t="str">
        <f t="shared" si="91"/>
        <v>مهره اتصال نبشی</v>
      </c>
      <c r="Z179" s="210" t="s">
        <v>340</v>
      </c>
      <c r="AA179" s="339">
        <f t="shared" si="92"/>
        <v>2</v>
      </c>
      <c r="AB179" s="670">
        <f t="shared" si="103"/>
        <v>2</v>
      </c>
      <c r="AC179" s="949">
        <f t="shared" si="104"/>
        <v>2</v>
      </c>
      <c r="AE179" s="767" t="str">
        <f t="shared" si="93"/>
        <v>413060204</v>
      </c>
      <c r="AF179" s="768" t="str">
        <f t="shared" si="94"/>
        <v>مهره اتصال نبشی</v>
      </c>
      <c r="AG179" s="339" t="str">
        <f t="shared" si="95"/>
        <v>Hex Nut</v>
      </c>
      <c r="AH179" s="339" t="str">
        <f t="shared" si="107"/>
        <v>M8-5-Electroplated-Din 934</v>
      </c>
      <c r="AI179" s="1139" t="s">
        <v>416</v>
      </c>
      <c r="AJ179" s="868" t="s">
        <v>110</v>
      </c>
      <c r="AK179" s="907" t="s">
        <v>484</v>
      </c>
      <c r="AL179" s="339" t="str">
        <f t="shared" si="100"/>
        <v>Pcs</v>
      </c>
      <c r="AM179" s="1050">
        <f t="shared" si="109"/>
        <v>2</v>
      </c>
      <c r="BD179" s="1120" t="str">
        <f t="shared" si="96"/>
        <v>06</v>
      </c>
      <c r="BE179" s="1121" t="str">
        <f t="shared" si="97"/>
        <v>04</v>
      </c>
      <c r="BF179" s="1121" t="str">
        <f t="shared" si="97"/>
        <v>413060204</v>
      </c>
      <c r="BG179" s="1122" t="str">
        <f t="shared" si="85"/>
        <v>قاب</v>
      </c>
      <c r="BH179" s="1122">
        <f t="shared" si="85"/>
        <v>1</v>
      </c>
      <c r="BI179" s="1123">
        <f t="shared" si="86"/>
        <v>1</v>
      </c>
    </row>
    <row r="180" spans="1:61" ht="15" x14ac:dyDescent="0.2">
      <c r="A180" s="1171">
        <v>173</v>
      </c>
      <c r="B180" s="210" t="s">
        <v>241</v>
      </c>
      <c r="C180" s="210" t="s">
        <v>250</v>
      </c>
      <c r="D180" s="213" t="s">
        <v>255</v>
      </c>
      <c r="E180" s="213" t="s">
        <v>131</v>
      </c>
      <c r="F180" s="213" t="s">
        <v>258</v>
      </c>
      <c r="G180" s="210">
        <v>5.6</v>
      </c>
      <c r="H180" s="210" t="s">
        <v>10</v>
      </c>
      <c r="I180" s="210" t="s">
        <v>133</v>
      </c>
      <c r="J180" s="267">
        <f>IF(E1=1500,24,IF(E1=2000,36,IF(E1=2500,60,70)))</f>
        <v>36</v>
      </c>
      <c r="K180" s="210" t="s">
        <v>30</v>
      </c>
      <c r="L180" s="210">
        <f t="shared" si="117"/>
        <v>36</v>
      </c>
      <c r="M180" s="210">
        <f t="shared" si="118"/>
        <v>36</v>
      </c>
      <c r="N180" s="211">
        <f t="shared" si="119"/>
        <v>0</v>
      </c>
      <c r="O180" s="642"/>
      <c r="P180" s="336">
        <f t="shared" si="87"/>
        <v>413</v>
      </c>
      <c r="Q180" s="337" t="s">
        <v>39</v>
      </c>
      <c r="R180" s="338" t="str">
        <f t="shared" si="88"/>
        <v>قاب</v>
      </c>
      <c r="S180" s="338">
        <v>1</v>
      </c>
      <c r="T180" s="629" t="s">
        <v>35</v>
      </c>
      <c r="U180" s="338" t="str">
        <f t="shared" si="89"/>
        <v>اتصالات قاب</v>
      </c>
      <c r="V180" s="210">
        <v>1</v>
      </c>
      <c r="W180" s="629" t="s">
        <v>38</v>
      </c>
      <c r="X180" s="340" t="str">
        <f t="shared" si="90"/>
        <v>413060205</v>
      </c>
      <c r="Y180" s="341" t="str">
        <f t="shared" si="91"/>
        <v>پیچ ورشو اتصال نبشی تقویتی به سینی</v>
      </c>
      <c r="Z180" s="210" t="s">
        <v>258</v>
      </c>
      <c r="AA180" s="339">
        <f t="shared" si="92"/>
        <v>36</v>
      </c>
      <c r="AB180" s="670">
        <f t="shared" si="103"/>
        <v>36</v>
      </c>
      <c r="AC180" s="949">
        <f t="shared" si="104"/>
        <v>36</v>
      </c>
      <c r="AE180" s="767" t="str">
        <f t="shared" si="93"/>
        <v>413060205</v>
      </c>
      <c r="AF180" s="768" t="str">
        <f t="shared" si="94"/>
        <v>پیچ ورشو اتصال نبشی تقویتی به سینی</v>
      </c>
      <c r="AG180" s="339" t="str">
        <f t="shared" si="95"/>
        <v>Self Threaded Bolt</v>
      </c>
      <c r="AH180" s="339" t="str">
        <f t="shared" si="107"/>
        <v>M1/4"x25-5.6-Electroplated-Din 7983</v>
      </c>
      <c r="AI180" s="210" t="s">
        <v>453</v>
      </c>
      <c r="AJ180" s="868" t="s">
        <v>405</v>
      </c>
      <c r="AK180" s="907" t="s">
        <v>484</v>
      </c>
      <c r="AL180" s="339" t="str">
        <f t="shared" si="100"/>
        <v>Pcs</v>
      </c>
      <c r="AM180" s="1050">
        <f t="shared" si="109"/>
        <v>36</v>
      </c>
      <c r="BD180" s="1120" t="str">
        <f t="shared" si="96"/>
        <v>06</v>
      </c>
      <c r="BE180" s="1121" t="str">
        <f t="shared" si="97"/>
        <v>05</v>
      </c>
      <c r="BF180" s="1121" t="str">
        <f t="shared" si="97"/>
        <v>413060205</v>
      </c>
      <c r="BG180" s="1122" t="str">
        <f t="shared" si="85"/>
        <v>قاب</v>
      </c>
      <c r="BH180" s="1122">
        <f t="shared" si="85"/>
        <v>1</v>
      </c>
      <c r="BI180" s="1123">
        <f t="shared" si="86"/>
        <v>1</v>
      </c>
    </row>
    <row r="181" spans="1:61" ht="15.75" thickBot="1" x14ac:dyDescent="0.25">
      <c r="A181" s="1174">
        <v>174</v>
      </c>
      <c r="B181" s="214" t="s">
        <v>241</v>
      </c>
      <c r="C181" s="214" t="s">
        <v>250</v>
      </c>
      <c r="D181" s="219" t="s">
        <v>256</v>
      </c>
      <c r="E181" s="219" t="s">
        <v>257</v>
      </c>
      <c r="F181" s="219" t="s">
        <v>259</v>
      </c>
      <c r="G181" s="214">
        <v>5</v>
      </c>
      <c r="H181" s="214" t="s">
        <v>10</v>
      </c>
      <c r="I181" s="214" t="s">
        <v>260</v>
      </c>
      <c r="J181" s="268">
        <f>J180</f>
        <v>36</v>
      </c>
      <c r="K181" s="214" t="s">
        <v>30</v>
      </c>
      <c r="L181" s="214">
        <f t="shared" si="117"/>
        <v>36</v>
      </c>
      <c r="M181" s="214">
        <f t="shared" si="118"/>
        <v>36</v>
      </c>
      <c r="N181" s="218">
        <f t="shared" si="119"/>
        <v>0</v>
      </c>
      <c r="O181" s="642"/>
      <c r="P181" s="342">
        <f t="shared" si="87"/>
        <v>413</v>
      </c>
      <c r="Q181" s="343" t="s">
        <v>39</v>
      </c>
      <c r="R181" s="344" t="str">
        <f t="shared" si="88"/>
        <v>قاب</v>
      </c>
      <c r="S181" s="344">
        <v>1</v>
      </c>
      <c r="T181" s="950" t="s">
        <v>35</v>
      </c>
      <c r="U181" s="344" t="str">
        <f t="shared" si="89"/>
        <v>اتصالات قاب</v>
      </c>
      <c r="V181" s="951">
        <v>1</v>
      </c>
      <c r="W181" s="950" t="s">
        <v>39</v>
      </c>
      <c r="X181" s="346" t="str">
        <f t="shared" si="90"/>
        <v>413060206</v>
      </c>
      <c r="Y181" s="347" t="str">
        <f t="shared" si="91"/>
        <v>مهره چهارگوش اتصال نبشی به سینی</v>
      </c>
      <c r="Z181" s="951" t="s">
        <v>259</v>
      </c>
      <c r="AA181" s="345">
        <f t="shared" si="92"/>
        <v>36</v>
      </c>
      <c r="AB181" s="952">
        <f t="shared" si="103"/>
        <v>36</v>
      </c>
      <c r="AC181" s="953">
        <f t="shared" si="104"/>
        <v>36</v>
      </c>
      <c r="AE181" s="807" t="str">
        <f t="shared" si="93"/>
        <v>413060206</v>
      </c>
      <c r="AF181" s="808" t="str">
        <f t="shared" si="94"/>
        <v>مهره چهارگوش اتصال نبشی به سینی</v>
      </c>
      <c r="AG181" s="585" t="str">
        <f t="shared" si="95"/>
        <v>Square Nut</v>
      </c>
      <c r="AH181" s="585" t="str">
        <f t="shared" si="107"/>
        <v>M1/4"-5-Electroplated-Din 555</v>
      </c>
      <c r="AI181" s="214" t="s">
        <v>454</v>
      </c>
      <c r="AJ181" s="869" t="s">
        <v>406</v>
      </c>
      <c r="AK181" s="908" t="s">
        <v>484</v>
      </c>
      <c r="AL181" s="585" t="str">
        <f t="shared" si="100"/>
        <v>Pcs</v>
      </c>
      <c r="AM181" s="1094">
        <f t="shared" si="109"/>
        <v>36</v>
      </c>
      <c r="BD181" s="1120" t="str">
        <f t="shared" si="96"/>
        <v>06</v>
      </c>
      <c r="BE181" s="1121" t="str">
        <f t="shared" si="97"/>
        <v>06</v>
      </c>
      <c r="BF181" s="1121" t="str">
        <f t="shared" si="97"/>
        <v>413060206</v>
      </c>
      <c r="BG181" s="1122" t="str">
        <f t="shared" si="85"/>
        <v>قاب</v>
      </c>
      <c r="BH181" s="1122">
        <f t="shared" si="85"/>
        <v>1</v>
      </c>
      <c r="BI181" s="1123">
        <f t="shared" si="86"/>
        <v>1</v>
      </c>
    </row>
    <row r="182" spans="1:61" ht="15" x14ac:dyDescent="0.2">
      <c r="A182" s="1170">
        <v>175</v>
      </c>
      <c r="B182" s="202" t="s">
        <v>241</v>
      </c>
      <c r="C182" s="202" t="s">
        <v>261</v>
      </c>
      <c r="D182" s="215" t="s">
        <v>262</v>
      </c>
      <c r="E182" s="215" t="s">
        <v>229</v>
      </c>
      <c r="F182" s="215" t="s">
        <v>232</v>
      </c>
      <c r="G182" s="202">
        <v>40</v>
      </c>
      <c r="H182" s="202">
        <v>40</v>
      </c>
      <c r="I182" s="202">
        <v>6000</v>
      </c>
      <c r="J182" s="202">
        <v>2</v>
      </c>
      <c r="K182" s="202" t="s">
        <v>29</v>
      </c>
      <c r="L182" s="203">
        <f>G182*73*I182*7.85*J182/1000000</f>
        <v>275.06400000000002</v>
      </c>
      <c r="M182" s="203">
        <f>(((6000-(INT(6000/I182)*I182))/(INT(6000/I182)))+I182)*73*G182*J182*7.85/1000000</f>
        <v>275.06400000000002</v>
      </c>
      <c r="N182" s="204">
        <f t="shared" si="119"/>
        <v>0</v>
      </c>
      <c r="O182" s="642"/>
      <c r="P182" s="566">
        <f t="shared" si="87"/>
        <v>413</v>
      </c>
      <c r="Q182" s="567" t="s">
        <v>39</v>
      </c>
      <c r="R182" s="568" t="str">
        <f t="shared" si="88"/>
        <v>قاب</v>
      </c>
      <c r="S182" s="568">
        <v>1</v>
      </c>
      <c r="T182" s="626" t="s">
        <v>36</v>
      </c>
      <c r="U182" s="568" t="str">
        <f t="shared" si="89"/>
        <v>نبشی قاب</v>
      </c>
      <c r="V182" s="202">
        <v>1</v>
      </c>
      <c r="W182" s="626" t="s">
        <v>34</v>
      </c>
      <c r="X182" s="569" t="str">
        <f t="shared" si="90"/>
        <v>413060301</v>
      </c>
      <c r="Y182" s="570" t="str">
        <f t="shared" si="91"/>
        <v>نبشی قاب جلو روتاری</v>
      </c>
      <c r="Z182" s="202" t="s">
        <v>375</v>
      </c>
      <c r="AA182" s="571">
        <f t="shared" si="92"/>
        <v>2</v>
      </c>
      <c r="AB182" s="667">
        <f t="shared" si="103"/>
        <v>2</v>
      </c>
      <c r="AC182" s="989">
        <f t="shared" si="104"/>
        <v>2</v>
      </c>
      <c r="AE182" s="803" t="str">
        <f t="shared" si="93"/>
        <v>413060301</v>
      </c>
      <c r="AF182" s="804" t="str">
        <f t="shared" si="94"/>
        <v>نبشی قاب جلو روتاری</v>
      </c>
      <c r="AG182" s="571" t="str">
        <f t="shared" si="95"/>
        <v>Angle 40x40</v>
      </c>
      <c r="AH182" s="571" t="str">
        <f>F182</f>
        <v>A-36</v>
      </c>
      <c r="AI182" s="202" t="s">
        <v>448</v>
      </c>
      <c r="AJ182" s="870" t="s">
        <v>476</v>
      </c>
      <c r="AK182" s="905">
        <f>M182/J182</f>
        <v>137.53200000000001</v>
      </c>
      <c r="AL182" s="571" t="str">
        <f t="shared" si="100"/>
        <v>Kg</v>
      </c>
      <c r="AM182" s="1093">
        <f t="shared" si="109"/>
        <v>275.06400000000002</v>
      </c>
      <c r="BD182" s="1120" t="str">
        <f t="shared" si="96"/>
        <v>06</v>
      </c>
      <c r="BE182" s="1121" t="str">
        <f t="shared" si="97"/>
        <v>01</v>
      </c>
      <c r="BF182" s="1121" t="str">
        <f t="shared" si="97"/>
        <v>413060301</v>
      </c>
      <c r="BG182" s="1122" t="str">
        <f t="shared" si="85"/>
        <v>قاب</v>
      </c>
      <c r="BH182" s="1122">
        <f t="shared" si="85"/>
        <v>1</v>
      </c>
      <c r="BI182" s="1123">
        <f t="shared" si="86"/>
        <v>1</v>
      </c>
    </row>
    <row r="183" spans="1:61" ht="15.75" thickBot="1" x14ac:dyDescent="0.25">
      <c r="A183" s="1174">
        <v>176</v>
      </c>
      <c r="B183" s="217" t="s">
        <v>241</v>
      </c>
      <c r="C183" s="217" t="s">
        <v>261</v>
      </c>
      <c r="D183" s="220" t="s">
        <v>263</v>
      </c>
      <c r="E183" s="220" t="s">
        <v>3</v>
      </c>
      <c r="F183" s="220" t="s">
        <v>80</v>
      </c>
      <c r="G183" s="217">
        <v>4</v>
      </c>
      <c r="H183" s="217">
        <v>40</v>
      </c>
      <c r="I183" s="217">
        <v>40</v>
      </c>
      <c r="J183" s="217">
        <v>2</v>
      </c>
      <c r="K183" s="217" t="s">
        <v>29</v>
      </c>
      <c r="L183" s="221">
        <f>G183*H183*I183*J183*7.85/1000000</f>
        <v>0.10048</v>
      </c>
      <c r="M183" s="221">
        <f>((((1500-(INT(1500/H183)*H183))/(INT(1500/H183)))+H183)*G183*I183*J183*7.85)/1000000</f>
        <v>0.10183783783783784</v>
      </c>
      <c r="N183" s="222">
        <f t="shared" si="119"/>
        <v>1.3513513513513549E-2</v>
      </c>
      <c r="O183" s="642"/>
      <c r="P183" s="572">
        <f t="shared" si="87"/>
        <v>413</v>
      </c>
      <c r="Q183" s="573" t="s">
        <v>39</v>
      </c>
      <c r="R183" s="574" t="str">
        <f t="shared" si="88"/>
        <v>قاب</v>
      </c>
      <c r="S183" s="574">
        <v>1</v>
      </c>
      <c r="T183" s="991" t="s">
        <v>36</v>
      </c>
      <c r="U183" s="574" t="str">
        <f t="shared" si="89"/>
        <v>نبشی قاب</v>
      </c>
      <c r="V183" s="992">
        <v>1</v>
      </c>
      <c r="W183" s="991" t="s">
        <v>35</v>
      </c>
      <c r="X183" s="575" t="str">
        <f t="shared" si="90"/>
        <v>413060302</v>
      </c>
      <c r="Y183" s="576" t="str">
        <f t="shared" si="91"/>
        <v>ورق اتصال سر نبشی</v>
      </c>
      <c r="Z183" s="992" t="s">
        <v>376</v>
      </c>
      <c r="AA183" s="577">
        <f t="shared" si="92"/>
        <v>2</v>
      </c>
      <c r="AB183" s="993">
        <f t="shared" si="103"/>
        <v>2</v>
      </c>
      <c r="AC183" s="994">
        <f t="shared" si="104"/>
        <v>2</v>
      </c>
      <c r="AE183" s="805" t="str">
        <f t="shared" si="93"/>
        <v>413060302</v>
      </c>
      <c r="AF183" s="806" t="str">
        <f t="shared" si="94"/>
        <v>ورق اتصال سر نبشی</v>
      </c>
      <c r="AG183" s="584" t="str">
        <f t="shared" si="95"/>
        <v>Plate</v>
      </c>
      <c r="AH183" s="584" t="str">
        <f>F183</f>
        <v>St-37</v>
      </c>
      <c r="AI183" s="217" t="s">
        <v>413</v>
      </c>
      <c r="AJ183" s="871" t="s">
        <v>464</v>
      </c>
      <c r="AK183" s="1095">
        <f>M183/J183</f>
        <v>5.0918918918918921E-2</v>
      </c>
      <c r="AL183" s="584" t="str">
        <f t="shared" si="100"/>
        <v>Kg</v>
      </c>
      <c r="AM183" s="1096">
        <f t="shared" si="109"/>
        <v>0.10183783783783784</v>
      </c>
      <c r="BD183" s="1120" t="str">
        <f t="shared" si="96"/>
        <v>06</v>
      </c>
      <c r="BE183" s="1121" t="str">
        <f t="shared" si="97"/>
        <v>02</v>
      </c>
      <c r="BF183" s="1121" t="str">
        <f t="shared" si="97"/>
        <v>413060302</v>
      </c>
      <c r="BG183" s="1122" t="str">
        <f t="shared" si="85"/>
        <v>قاب</v>
      </c>
      <c r="BH183" s="1122">
        <f t="shared" si="85"/>
        <v>1</v>
      </c>
      <c r="BI183" s="1123">
        <f t="shared" si="86"/>
        <v>1</v>
      </c>
    </row>
    <row r="184" spans="1:61" ht="15" x14ac:dyDescent="0.2">
      <c r="A184" s="1170">
        <v>177</v>
      </c>
      <c r="B184" s="223" t="s">
        <v>264</v>
      </c>
      <c r="C184" s="223" t="s">
        <v>265</v>
      </c>
      <c r="D184" s="224" t="s">
        <v>265</v>
      </c>
      <c r="E184" s="224" t="s">
        <v>145</v>
      </c>
      <c r="F184" s="224" t="s">
        <v>270</v>
      </c>
      <c r="G184" s="223" t="s">
        <v>2</v>
      </c>
      <c r="H184" s="223">
        <v>65</v>
      </c>
      <c r="I184" s="223">
        <v>70</v>
      </c>
      <c r="J184" s="223">
        <v>1</v>
      </c>
      <c r="K184" s="223" t="s">
        <v>29</v>
      </c>
      <c r="L184" s="320">
        <f>J184*I184*(H184/2)*(H184/2)*0.952*3.1415/1000000</f>
        <v>0.22112547275000002</v>
      </c>
      <c r="M184" s="223">
        <f>(((6000-(INT(6000/I184)*I184))/(INT(6000/I184)))+I184)*J184*(H184/2)*(H184/2)*0.952*3.1415/1000000</f>
        <v>0.22298367000000008</v>
      </c>
      <c r="N184" s="225">
        <f>(M184-L184)/L184</f>
        <v>8.4033613445380594E-3</v>
      </c>
      <c r="O184" s="642"/>
      <c r="P184" s="370">
        <f t="shared" si="87"/>
        <v>413</v>
      </c>
      <c r="Q184" s="44" t="s">
        <v>40</v>
      </c>
      <c r="R184" s="21" t="str">
        <f t="shared" si="88"/>
        <v>سیستم محرک</v>
      </c>
      <c r="S184" s="21">
        <v>1</v>
      </c>
      <c r="T184" s="630" t="s">
        <v>34</v>
      </c>
      <c r="U184" s="21" t="str">
        <f t="shared" si="89"/>
        <v>پولی تسمه سفت کن</v>
      </c>
      <c r="V184" s="223">
        <v>1</v>
      </c>
      <c r="W184" s="630" t="s">
        <v>34</v>
      </c>
      <c r="X184" s="45" t="str">
        <f t="shared" si="90"/>
        <v>413070101</v>
      </c>
      <c r="Y184" s="23" t="str">
        <f t="shared" si="91"/>
        <v>پولی تسمه سفت کن</v>
      </c>
      <c r="Z184" s="223" t="s">
        <v>377</v>
      </c>
      <c r="AA184" s="22">
        <f t="shared" si="92"/>
        <v>1</v>
      </c>
      <c r="AB184" s="671">
        <f t="shared" si="103"/>
        <v>1</v>
      </c>
      <c r="AC184" s="1000">
        <f t="shared" si="104"/>
        <v>1</v>
      </c>
      <c r="AE184" s="717" t="str">
        <f t="shared" si="93"/>
        <v>413070101</v>
      </c>
      <c r="AF184" s="718" t="str">
        <f t="shared" si="94"/>
        <v>پولی تسمه سفت کن</v>
      </c>
      <c r="AG184" s="22" t="str">
        <f t="shared" si="95"/>
        <v>Round Bar</v>
      </c>
      <c r="AH184" s="22" t="str">
        <f>F184</f>
        <v>PE</v>
      </c>
      <c r="AI184" s="223" t="s">
        <v>455</v>
      </c>
      <c r="AJ184" s="872" t="s">
        <v>478</v>
      </c>
      <c r="AK184" s="909">
        <f>M184/J184</f>
        <v>0.22298367000000008</v>
      </c>
      <c r="AL184" s="22" t="str">
        <f t="shared" si="100"/>
        <v>Kg</v>
      </c>
      <c r="AM184" s="1059">
        <f t="shared" si="109"/>
        <v>0.22298367000000008</v>
      </c>
      <c r="BD184" s="1120" t="str">
        <f t="shared" si="96"/>
        <v>07</v>
      </c>
      <c r="BE184" s="1121" t="str">
        <f t="shared" si="97"/>
        <v>01</v>
      </c>
      <c r="BF184" s="1121" t="str">
        <f t="shared" si="97"/>
        <v>413070101</v>
      </c>
      <c r="BG184" s="1122" t="str">
        <f t="shared" si="85"/>
        <v>سیستم محرک</v>
      </c>
      <c r="BH184" s="1122">
        <f t="shared" si="85"/>
        <v>1</v>
      </c>
      <c r="BI184" s="1123">
        <f t="shared" si="86"/>
        <v>1</v>
      </c>
    </row>
    <row r="185" spans="1:61" ht="15" x14ac:dyDescent="0.2">
      <c r="A185" s="1171">
        <v>178</v>
      </c>
      <c r="B185" s="226" t="s">
        <v>264</v>
      </c>
      <c r="C185" s="226" t="s">
        <v>265</v>
      </c>
      <c r="D185" s="227" t="s">
        <v>266</v>
      </c>
      <c r="E185" s="227" t="s">
        <v>271</v>
      </c>
      <c r="F185" s="227" t="s">
        <v>2</v>
      </c>
      <c r="G185" s="226" t="s">
        <v>2</v>
      </c>
      <c r="H185" s="226" t="s">
        <v>2</v>
      </c>
      <c r="I185" s="226" t="s">
        <v>2</v>
      </c>
      <c r="J185" s="226">
        <v>2</v>
      </c>
      <c r="K185" s="226" t="s">
        <v>30</v>
      </c>
      <c r="L185" s="226">
        <f>J185</f>
        <v>2</v>
      </c>
      <c r="M185" s="226">
        <f>J185</f>
        <v>2</v>
      </c>
      <c r="N185" s="228">
        <f>(M185-L185)/L185</f>
        <v>0</v>
      </c>
      <c r="O185" s="642"/>
      <c r="P185" s="371">
        <f t="shared" si="87"/>
        <v>413</v>
      </c>
      <c r="Q185" s="46" t="s">
        <v>40</v>
      </c>
      <c r="R185" s="24" t="str">
        <f t="shared" si="88"/>
        <v>سیستم محرک</v>
      </c>
      <c r="S185" s="24">
        <v>1</v>
      </c>
      <c r="T185" s="631" t="s">
        <v>34</v>
      </c>
      <c r="U185" s="24" t="str">
        <f t="shared" si="89"/>
        <v>پولی تسمه سفت کن</v>
      </c>
      <c r="V185" s="226">
        <v>1</v>
      </c>
      <c r="W185" s="631" t="s">
        <v>35</v>
      </c>
      <c r="X185" s="47" t="str">
        <f t="shared" si="90"/>
        <v>413070102</v>
      </c>
      <c r="Y185" s="26" t="str">
        <f t="shared" si="91"/>
        <v>بیرینگ</v>
      </c>
      <c r="Z185" s="226" t="s">
        <v>271</v>
      </c>
      <c r="AA185" s="25">
        <f t="shared" si="92"/>
        <v>2</v>
      </c>
      <c r="AB185" s="672">
        <f t="shared" si="103"/>
        <v>2</v>
      </c>
      <c r="AC185" s="1001">
        <f t="shared" si="104"/>
        <v>2</v>
      </c>
      <c r="AE185" s="719" t="str">
        <f t="shared" si="93"/>
        <v>413070102</v>
      </c>
      <c r="AF185" s="720" t="str">
        <f t="shared" si="94"/>
        <v>بیرینگ</v>
      </c>
      <c r="AG185" s="25" t="str">
        <f t="shared" si="95"/>
        <v xml:space="preserve">6201z </v>
      </c>
      <c r="AH185" s="25" t="str">
        <f>F185</f>
        <v>-</v>
      </c>
      <c r="AI185" s="226" t="s">
        <v>456</v>
      </c>
      <c r="AJ185" s="873" t="s">
        <v>407</v>
      </c>
      <c r="AK185" s="910" t="s">
        <v>484</v>
      </c>
      <c r="AL185" s="25" t="str">
        <f t="shared" si="100"/>
        <v>Pcs</v>
      </c>
      <c r="AM185" s="1010">
        <f t="shared" si="109"/>
        <v>2</v>
      </c>
      <c r="BD185" s="1120" t="str">
        <f t="shared" si="96"/>
        <v>07</v>
      </c>
      <c r="BE185" s="1121" t="str">
        <f t="shared" si="97"/>
        <v>02</v>
      </c>
      <c r="BF185" s="1121" t="str">
        <f t="shared" si="97"/>
        <v>413070102</v>
      </c>
      <c r="BG185" s="1122" t="str">
        <f t="shared" si="85"/>
        <v>سیستم محرک</v>
      </c>
      <c r="BH185" s="1122">
        <f t="shared" si="85"/>
        <v>1</v>
      </c>
      <c r="BI185" s="1123">
        <f t="shared" si="86"/>
        <v>1</v>
      </c>
    </row>
    <row r="186" spans="1:61" ht="15" x14ac:dyDescent="0.2">
      <c r="A186" s="1171">
        <v>179</v>
      </c>
      <c r="B186" s="226" t="s">
        <v>264</v>
      </c>
      <c r="C186" s="226" t="s">
        <v>265</v>
      </c>
      <c r="D186" s="227" t="s">
        <v>267</v>
      </c>
      <c r="E186" s="227" t="s">
        <v>8</v>
      </c>
      <c r="F186" s="227" t="s">
        <v>272</v>
      </c>
      <c r="G186" s="226">
        <v>5.6</v>
      </c>
      <c r="H186" s="226" t="s">
        <v>10</v>
      </c>
      <c r="I186" s="226" t="s">
        <v>275</v>
      </c>
      <c r="J186" s="226">
        <v>1</v>
      </c>
      <c r="K186" s="226" t="s">
        <v>30</v>
      </c>
      <c r="L186" s="226">
        <f t="shared" ref="L186:L188" si="120">J186</f>
        <v>1</v>
      </c>
      <c r="M186" s="226">
        <f t="shared" ref="M186:M188" si="121">J186</f>
        <v>1</v>
      </c>
      <c r="N186" s="228">
        <f t="shared" ref="N186:N203" si="122">(M186-L186)/L186</f>
        <v>0</v>
      </c>
      <c r="O186" s="642"/>
      <c r="P186" s="371">
        <f t="shared" si="87"/>
        <v>413</v>
      </c>
      <c r="Q186" s="46" t="s">
        <v>40</v>
      </c>
      <c r="R186" s="24" t="str">
        <f t="shared" si="88"/>
        <v>سیستم محرک</v>
      </c>
      <c r="S186" s="24">
        <v>1</v>
      </c>
      <c r="T186" s="631" t="s">
        <v>34</v>
      </c>
      <c r="U186" s="24" t="str">
        <f t="shared" si="89"/>
        <v>پولی تسمه سفت کن</v>
      </c>
      <c r="V186" s="226">
        <v>1</v>
      </c>
      <c r="W186" s="631" t="s">
        <v>36</v>
      </c>
      <c r="X186" s="47" t="str">
        <f t="shared" si="90"/>
        <v>413070103</v>
      </c>
      <c r="Y186" s="26" t="str">
        <f t="shared" si="91"/>
        <v>پیچ پولی تسمه سفت کن</v>
      </c>
      <c r="Z186" s="226" t="s">
        <v>272</v>
      </c>
      <c r="AA186" s="25">
        <f t="shared" si="92"/>
        <v>1</v>
      </c>
      <c r="AB186" s="672">
        <f t="shared" si="103"/>
        <v>1</v>
      </c>
      <c r="AC186" s="1001">
        <f t="shared" si="104"/>
        <v>1</v>
      </c>
      <c r="AE186" s="719" t="str">
        <f t="shared" si="93"/>
        <v>413070103</v>
      </c>
      <c r="AF186" s="720" t="str">
        <f t="shared" si="94"/>
        <v>پیچ پولی تسمه سفت کن</v>
      </c>
      <c r="AG186" s="25" t="str">
        <f t="shared" si="95"/>
        <v>Hex Bolt</v>
      </c>
      <c r="AH186" s="25" t="str">
        <f t="shared" si="107"/>
        <v>M12x100-5.6-Electroplated-Din 931</v>
      </c>
      <c r="AI186" s="226" t="s">
        <v>457</v>
      </c>
      <c r="AJ186" s="873" t="s">
        <v>408</v>
      </c>
      <c r="AK186" s="910" t="s">
        <v>484</v>
      </c>
      <c r="AL186" s="25" t="str">
        <f t="shared" si="100"/>
        <v>Pcs</v>
      </c>
      <c r="AM186" s="1010">
        <f t="shared" si="109"/>
        <v>1</v>
      </c>
      <c r="BD186" s="1120" t="str">
        <f t="shared" si="96"/>
        <v>07</v>
      </c>
      <c r="BE186" s="1121" t="str">
        <f t="shared" si="97"/>
        <v>03</v>
      </c>
      <c r="BF186" s="1121" t="str">
        <f t="shared" si="97"/>
        <v>413070103</v>
      </c>
      <c r="BG186" s="1122" t="str">
        <f t="shared" si="85"/>
        <v>سیستم محرک</v>
      </c>
      <c r="BH186" s="1122">
        <f t="shared" si="85"/>
        <v>1</v>
      </c>
      <c r="BI186" s="1123">
        <f t="shared" si="86"/>
        <v>1</v>
      </c>
    </row>
    <row r="187" spans="1:61" ht="15" x14ac:dyDescent="0.2">
      <c r="A187" s="1171">
        <v>180</v>
      </c>
      <c r="B187" s="226" t="s">
        <v>264</v>
      </c>
      <c r="C187" s="226" t="s">
        <v>265</v>
      </c>
      <c r="D187" s="227" t="s">
        <v>268</v>
      </c>
      <c r="E187" s="227" t="s">
        <v>9</v>
      </c>
      <c r="F187" s="227" t="s">
        <v>273</v>
      </c>
      <c r="G187" s="226">
        <v>5</v>
      </c>
      <c r="H187" s="226" t="s">
        <v>10</v>
      </c>
      <c r="I187" s="226" t="s">
        <v>21</v>
      </c>
      <c r="J187" s="226">
        <v>1</v>
      </c>
      <c r="K187" s="226" t="s">
        <v>30</v>
      </c>
      <c r="L187" s="226">
        <f t="shared" si="120"/>
        <v>1</v>
      </c>
      <c r="M187" s="226">
        <f t="shared" si="121"/>
        <v>1</v>
      </c>
      <c r="N187" s="228">
        <f t="shared" si="122"/>
        <v>0</v>
      </c>
      <c r="O187" s="642"/>
      <c r="P187" s="371">
        <f t="shared" si="87"/>
        <v>413</v>
      </c>
      <c r="Q187" s="46" t="s">
        <v>40</v>
      </c>
      <c r="R187" s="24" t="str">
        <f t="shared" si="88"/>
        <v>سیستم محرک</v>
      </c>
      <c r="S187" s="24">
        <v>1</v>
      </c>
      <c r="T187" s="631" t="s">
        <v>34</v>
      </c>
      <c r="U187" s="24" t="str">
        <f t="shared" si="89"/>
        <v>پولی تسمه سفت کن</v>
      </c>
      <c r="V187" s="226">
        <v>1</v>
      </c>
      <c r="W187" s="631" t="s">
        <v>37</v>
      </c>
      <c r="X187" s="47" t="str">
        <f t="shared" si="90"/>
        <v>413070104</v>
      </c>
      <c r="Y187" s="26" t="str">
        <f t="shared" si="91"/>
        <v>مهره پولی تسمه سفت کن</v>
      </c>
      <c r="Z187" s="226" t="s">
        <v>273</v>
      </c>
      <c r="AA187" s="25">
        <f t="shared" si="92"/>
        <v>1</v>
      </c>
      <c r="AB187" s="672">
        <f t="shared" si="103"/>
        <v>1</v>
      </c>
      <c r="AC187" s="1001">
        <f t="shared" si="104"/>
        <v>1</v>
      </c>
      <c r="AE187" s="719" t="str">
        <f t="shared" si="93"/>
        <v>413070104</v>
      </c>
      <c r="AF187" s="720" t="str">
        <f t="shared" si="94"/>
        <v>مهره پولی تسمه سفت کن</v>
      </c>
      <c r="AG187" s="25" t="str">
        <f t="shared" si="95"/>
        <v>Hex Nut</v>
      </c>
      <c r="AH187" s="25" t="str">
        <f t="shared" si="107"/>
        <v>M12-5-Electroplated-Din 934</v>
      </c>
      <c r="AI187" s="226" t="s">
        <v>521</v>
      </c>
      <c r="AJ187" s="873" t="s">
        <v>522</v>
      </c>
      <c r="AK187" s="910" t="s">
        <v>484</v>
      </c>
      <c r="AL187" s="25" t="str">
        <f t="shared" si="100"/>
        <v>Pcs</v>
      </c>
      <c r="AM187" s="1010">
        <f t="shared" si="109"/>
        <v>1</v>
      </c>
      <c r="BD187" s="1120" t="str">
        <f t="shared" si="96"/>
        <v>07</v>
      </c>
      <c r="BE187" s="1121" t="str">
        <f t="shared" si="97"/>
        <v>04</v>
      </c>
      <c r="BF187" s="1121" t="str">
        <f t="shared" si="97"/>
        <v>413070104</v>
      </c>
      <c r="BG187" s="1122" t="str">
        <f t="shared" si="85"/>
        <v>سیستم محرک</v>
      </c>
      <c r="BH187" s="1122">
        <f t="shared" si="85"/>
        <v>1</v>
      </c>
      <c r="BI187" s="1123">
        <f t="shared" si="86"/>
        <v>1</v>
      </c>
    </row>
    <row r="188" spans="1:61" ht="15.75" thickBot="1" x14ac:dyDescent="0.25">
      <c r="A188" s="1174">
        <v>181</v>
      </c>
      <c r="B188" s="311" t="s">
        <v>264</v>
      </c>
      <c r="C188" s="311" t="s">
        <v>265</v>
      </c>
      <c r="D188" s="312" t="s">
        <v>269</v>
      </c>
      <c r="E188" s="312" t="s">
        <v>193</v>
      </c>
      <c r="F188" s="312" t="s">
        <v>274</v>
      </c>
      <c r="G188" s="311" t="s">
        <v>199</v>
      </c>
      <c r="H188" s="311" t="s">
        <v>10</v>
      </c>
      <c r="I188" s="311" t="s">
        <v>200</v>
      </c>
      <c r="J188" s="311">
        <v>3</v>
      </c>
      <c r="K188" s="311" t="s">
        <v>30</v>
      </c>
      <c r="L188" s="311">
        <f t="shared" si="120"/>
        <v>3</v>
      </c>
      <c r="M188" s="311">
        <f t="shared" si="121"/>
        <v>3</v>
      </c>
      <c r="N188" s="313">
        <f t="shared" si="122"/>
        <v>0</v>
      </c>
      <c r="O188" s="642"/>
      <c r="P188" s="372">
        <f t="shared" si="87"/>
        <v>413</v>
      </c>
      <c r="Q188" s="60" t="s">
        <v>40</v>
      </c>
      <c r="R188" s="59" t="str">
        <f t="shared" si="88"/>
        <v>سیستم محرک</v>
      </c>
      <c r="S188" s="59">
        <v>1</v>
      </c>
      <c r="T188" s="635" t="s">
        <v>34</v>
      </c>
      <c r="U188" s="59" t="str">
        <f t="shared" si="89"/>
        <v>پولی تسمه سفت کن</v>
      </c>
      <c r="V188" s="229">
        <v>1</v>
      </c>
      <c r="W188" s="635" t="s">
        <v>38</v>
      </c>
      <c r="X188" s="61" t="str">
        <f t="shared" si="90"/>
        <v>413070105</v>
      </c>
      <c r="Y188" s="62" t="str">
        <f t="shared" si="91"/>
        <v>واشر پولی تسمه سفت کن</v>
      </c>
      <c r="Z188" s="229" t="s">
        <v>274</v>
      </c>
      <c r="AA188" s="32">
        <f t="shared" si="92"/>
        <v>3</v>
      </c>
      <c r="AB188" s="676">
        <f t="shared" si="103"/>
        <v>3</v>
      </c>
      <c r="AC188" s="1002">
        <f t="shared" si="104"/>
        <v>3</v>
      </c>
      <c r="AE188" s="809" t="str">
        <f t="shared" si="93"/>
        <v>413070105</v>
      </c>
      <c r="AF188" s="810" t="str">
        <f t="shared" si="94"/>
        <v>واشر پولی تسمه سفت کن</v>
      </c>
      <c r="AG188" s="586" t="str">
        <f t="shared" si="95"/>
        <v>Flat Washer</v>
      </c>
      <c r="AH188" s="586" t="str">
        <f t="shared" si="107"/>
        <v>A12-S-Electroplated-Din 126</v>
      </c>
      <c r="AI188" s="311" t="s">
        <v>102</v>
      </c>
      <c r="AJ188" s="874" t="s">
        <v>106</v>
      </c>
      <c r="AK188" s="911" t="s">
        <v>484</v>
      </c>
      <c r="AL188" s="586" t="str">
        <f t="shared" si="100"/>
        <v>Pcs</v>
      </c>
      <c r="AM188" s="1097">
        <f t="shared" si="109"/>
        <v>3</v>
      </c>
      <c r="BD188" s="1120" t="str">
        <f t="shared" si="96"/>
        <v>07</v>
      </c>
      <c r="BE188" s="1121" t="str">
        <f t="shared" si="97"/>
        <v>05</v>
      </c>
      <c r="BF188" s="1121" t="str">
        <f t="shared" si="97"/>
        <v>413070105</v>
      </c>
      <c r="BG188" s="1122" t="str">
        <f t="shared" si="85"/>
        <v>سیستم محرک</v>
      </c>
      <c r="BH188" s="1122">
        <f t="shared" si="85"/>
        <v>1</v>
      </c>
      <c r="BI188" s="1123">
        <f t="shared" si="86"/>
        <v>1</v>
      </c>
    </row>
    <row r="189" spans="1:61" ht="15" x14ac:dyDescent="0.2">
      <c r="A189" s="1170">
        <v>182</v>
      </c>
      <c r="B189" s="232" t="s">
        <v>264</v>
      </c>
      <c r="C189" s="232" t="s">
        <v>276</v>
      </c>
      <c r="D189" s="236" t="s">
        <v>277</v>
      </c>
      <c r="E189" s="236" t="s">
        <v>284</v>
      </c>
      <c r="F189" s="236" t="s">
        <v>283</v>
      </c>
      <c r="G189" s="232" t="s">
        <v>2</v>
      </c>
      <c r="H189" s="232" t="s">
        <v>2</v>
      </c>
      <c r="I189" s="232" t="s">
        <v>2</v>
      </c>
      <c r="J189" s="232">
        <v>1</v>
      </c>
      <c r="K189" s="232" t="s">
        <v>30</v>
      </c>
      <c r="L189" s="232">
        <f>J189</f>
        <v>1</v>
      </c>
      <c r="M189" s="232">
        <f>J189</f>
        <v>1</v>
      </c>
      <c r="N189" s="233">
        <f t="shared" si="122"/>
        <v>0</v>
      </c>
      <c r="O189" s="642"/>
      <c r="P189" s="587">
        <f t="shared" si="87"/>
        <v>413</v>
      </c>
      <c r="Q189" s="588" t="s">
        <v>40</v>
      </c>
      <c r="R189" s="589" t="str">
        <f t="shared" si="88"/>
        <v>سیستم محرک</v>
      </c>
      <c r="S189" s="589">
        <v>1</v>
      </c>
      <c r="T189" s="632" t="s">
        <v>35</v>
      </c>
      <c r="U189" s="589" t="str">
        <f t="shared" si="89"/>
        <v>انتقال قدرت</v>
      </c>
      <c r="V189" s="232">
        <v>1</v>
      </c>
      <c r="W189" s="632" t="s">
        <v>34</v>
      </c>
      <c r="X189" s="590" t="str">
        <f t="shared" si="90"/>
        <v>413070201</v>
      </c>
      <c r="Y189" s="591" t="str">
        <f t="shared" si="91"/>
        <v>پولی چدنی</v>
      </c>
      <c r="Z189" s="232" t="s">
        <v>378</v>
      </c>
      <c r="AA189" s="592">
        <f t="shared" si="92"/>
        <v>1</v>
      </c>
      <c r="AB189" s="673">
        <f t="shared" si="103"/>
        <v>1</v>
      </c>
      <c r="AC189" s="1003">
        <f t="shared" si="104"/>
        <v>1</v>
      </c>
      <c r="AE189" s="811" t="str">
        <f t="shared" si="93"/>
        <v>413070201</v>
      </c>
      <c r="AF189" s="812" t="str">
        <f t="shared" si="94"/>
        <v>پولی چدنی</v>
      </c>
      <c r="AG189" s="592" t="str">
        <f t="shared" si="95"/>
        <v>Casting</v>
      </c>
      <c r="AH189" s="592" t="str">
        <f>F189</f>
        <v>Casted Iron</v>
      </c>
      <c r="AI189" s="232" t="s">
        <v>458</v>
      </c>
      <c r="AJ189" s="1017" t="s">
        <v>409</v>
      </c>
      <c r="AK189" s="1018" t="s">
        <v>484</v>
      </c>
      <c r="AL189" s="592" t="str">
        <f t="shared" si="100"/>
        <v>Pcs</v>
      </c>
      <c r="AM189" s="1019">
        <f t="shared" si="109"/>
        <v>1</v>
      </c>
      <c r="BD189" s="1120" t="str">
        <f t="shared" si="96"/>
        <v>07</v>
      </c>
      <c r="BE189" s="1121" t="str">
        <f t="shared" si="97"/>
        <v>01</v>
      </c>
      <c r="BF189" s="1121" t="str">
        <f t="shared" si="97"/>
        <v>413070201</v>
      </c>
      <c r="BG189" s="1122" t="str">
        <f t="shared" si="85"/>
        <v>سیستم محرک</v>
      </c>
      <c r="BH189" s="1122">
        <f t="shared" si="85"/>
        <v>1</v>
      </c>
      <c r="BI189" s="1123">
        <f t="shared" si="86"/>
        <v>1</v>
      </c>
    </row>
    <row r="190" spans="1:61" ht="15" x14ac:dyDescent="0.2">
      <c r="A190" s="1171">
        <v>183</v>
      </c>
      <c r="B190" s="234" t="s">
        <v>264</v>
      </c>
      <c r="C190" s="234" t="s">
        <v>276</v>
      </c>
      <c r="D190" s="237" t="s">
        <v>278</v>
      </c>
      <c r="E190" s="237" t="s">
        <v>145</v>
      </c>
      <c r="F190" s="237" t="s">
        <v>232</v>
      </c>
      <c r="G190" s="234" t="s">
        <v>2</v>
      </c>
      <c r="H190" s="234">
        <v>35</v>
      </c>
      <c r="I190" s="234">
        <v>160</v>
      </c>
      <c r="J190" s="234">
        <v>1</v>
      </c>
      <c r="K190" s="234" t="s">
        <v>29</v>
      </c>
      <c r="L190" s="321">
        <f>J190*I190*(H190/2)*(H190/2)*3.1415*7.85/1000000</f>
        <v>1.2083779749999999</v>
      </c>
      <c r="M190" s="321">
        <f>(((6000-(INT(6000/I190)*I190))/(INT(6000/I190)))+I190)*J190*7.85*(H190/2)*(H190/2)*3.1415/1000000</f>
        <v>1.2247074070945945</v>
      </c>
      <c r="N190" s="235">
        <f t="shared" si="122"/>
        <v>1.3513513513513509E-2</v>
      </c>
      <c r="O190" s="642"/>
      <c r="P190" s="593">
        <f t="shared" si="87"/>
        <v>413</v>
      </c>
      <c r="Q190" s="594" t="s">
        <v>40</v>
      </c>
      <c r="R190" s="595" t="str">
        <f t="shared" si="88"/>
        <v>سیستم محرک</v>
      </c>
      <c r="S190" s="595">
        <v>1</v>
      </c>
      <c r="T190" s="633" t="s">
        <v>35</v>
      </c>
      <c r="U190" s="595" t="str">
        <f t="shared" si="89"/>
        <v>انتقال قدرت</v>
      </c>
      <c r="V190" s="234">
        <v>1</v>
      </c>
      <c r="W190" s="633" t="s">
        <v>35</v>
      </c>
      <c r="X190" s="596" t="str">
        <f t="shared" si="90"/>
        <v>413070202</v>
      </c>
      <c r="Y190" s="597" t="str">
        <f t="shared" si="91"/>
        <v>شفت الکتروگیربکس</v>
      </c>
      <c r="Z190" s="234" t="s">
        <v>379</v>
      </c>
      <c r="AA190" s="598">
        <f t="shared" si="92"/>
        <v>1</v>
      </c>
      <c r="AB190" s="674">
        <f t="shared" si="103"/>
        <v>1</v>
      </c>
      <c r="AC190" s="1004">
        <f t="shared" si="104"/>
        <v>1</v>
      </c>
      <c r="AE190" s="813" t="str">
        <f t="shared" si="93"/>
        <v>413070202</v>
      </c>
      <c r="AF190" s="814" t="str">
        <f t="shared" si="94"/>
        <v>شفت الکتروگیربکس</v>
      </c>
      <c r="AG190" s="598" t="str">
        <f t="shared" si="95"/>
        <v>Round Bar</v>
      </c>
      <c r="AH190" s="598" t="str">
        <f>F190</f>
        <v>A-36</v>
      </c>
      <c r="AI190" s="234" t="s">
        <v>459</v>
      </c>
      <c r="AJ190" s="1020" t="s">
        <v>481</v>
      </c>
      <c r="AK190" s="1021">
        <f>M190/J190</f>
        <v>1.2247074070945945</v>
      </c>
      <c r="AL190" s="598" t="str">
        <f t="shared" si="100"/>
        <v>Kg</v>
      </c>
      <c r="AM190" s="1022">
        <f t="shared" si="109"/>
        <v>1.2247074070945945</v>
      </c>
      <c r="BD190" s="1120" t="str">
        <f t="shared" si="96"/>
        <v>07</v>
      </c>
      <c r="BE190" s="1121" t="str">
        <f t="shared" si="97"/>
        <v>02</v>
      </c>
      <c r="BF190" s="1121" t="str">
        <f t="shared" si="97"/>
        <v>413070202</v>
      </c>
      <c r="BG190" s="1122" t="str">
        <f t="shared" si="85"/>
        <v>سیستم محرک</v>
      </c>
      <c r="BH190" s="1122">
        <f t="shared" si="85"/>
        <v>1</v>
      </c>
      <c r="BI190" s="1123">
        <f t="shared" si="86"/>
        <v>1</v>
      </c>
    </row>
    <row r="191" spans="1:61" ht="15" x14ac:dyDescent="0.2">
      <c r="A191" s="1206">
        <v>184</v>
      </c>
      <c r="B191" s="234" t="s">
        <v>264</v>
      </c>
      <c r="C191" s="234" t="s">
        <v>276</v>
      </c>
      <c r="D191" s="237" t="s">
        <v>279</v>
      </c>
      <c r="E191" s="237" t="s">
        <v>285</v>
      </c>
      <c r="F191" s="237" t="s">
        <v>232</v>
      </c>
      <c r="G191" s="1205">
        <v>6</v>
      </c>
      <c r="H191" s="1205">
        <v>6</v>
      </c>
      <c r="I191" s="234">
        <v>60</v>
      </c>
      <c r="J191" s="234">
        <v>1</v>
      </c>
      <c r="K191" s="234" t="s">
        <v>29</v>
      </c>
      <c r="L191" s="321">
        <f>J191*I191*H191*G191*7.85/1000000</f>
        <v>1.6955999999999999E-2</v>
      </c>
      <c r="M191" s="321">
        <f>(((6000-(INT(6000/I191)*I191))/(INT(6000/I191)))+I191)*J191*H191*G191*7.85/1000000</f>
        <v>1.6955999999999999E-2</v>
      </c>
      <c r="N191" s="235">
        <f t="shared" si="122"/>
        <v>0</v>
      </c>
      <c r="O191" s="642"/>
      <c r="P191" s="593">
        <f t="shared" si="87"/>
        <v>413</v>
      </c>
      <c r="Q191" s="594" t="s">
        <v>40</v>
      </c>
      <c r="R191" s="595" t="str">
        <f t="shared" si="88"/>
        <v>سیستم محرک</v>
      </c>
      <c r="S191" s="595">
        <v>1</v>
      </c>
      <c r="T191" s="633" t="s">
        <v>35</v>
      </c>
      <c r="U191" s="595" t="str">
        <f t="shared" si="89"/>
        <v>انتقال قدرت</v>
      </c>
      <c r="V191" s="234">
        <v>1</v>
      </c>
      <c r="W191" s="633" t="s">
        <v>36</v>
      </c>
      <c r="X191" s="596" t="str">
        <f t="shared" si="90"/>
        <v>413070203</v>
      </c>
      <c r="Y191" s="597" t="str">
        <f t="shared" si="91"/>
        <v>خار شفت الکتروگیربکس 1</v>
      </c>
      <c r="Z191" s="234" t="s">
        <v>380</v>
      </c>
      <c r="AA191" s="598">
        <f t="shared" si="92"/>
        <v>1</v>
      </c>
      <c r="AB191" s="674">
        <f t="shared" si="103"/>
        <v>1</v>
      </c>
      <c r="AC191" s="1004">
        <f t="shared" si="104"/>
        <v>1</v>
      </c>
      <c r="AE191" s="813" t="str">
        <f t="shared" si="93"/>
        <v>413070203</v>
      </c>
      <c r="AF191" s="814" t="str">
        <f t="shared" si="94"/>
        <v>خار شفت الکتروگیربکس 1</v>
      </c>
      <c r="AG191" s="598" t="str">
        <f t="shared" si="95"/>
        <v>Square Bar</v>
      </c>
      <c r="AH191" s="598" t="str">
        <f>F191</f>
        <v>A-36</v>
      </c>
      <c r="AI191" s="234" t="s">
        <v>460</v>
      </c>
      <c r="AJ191" s="1020" t="s">
        <v>479</v>
      </c>
      <c r="AK191" s="1021">
        <f t="shared" ref="AK191:AK192" si="123">M191/J191</f>
        <v>1.6955999999999999E-2</v>
      </c>
      <c r="AL191" s="598" t="str">
        <f t="shared" si="100"/>
        <v>Kg</v>
      </c>
      <c r="AM191" s="1022">
        <f t="shared" si="109"/>
        <v>1.6955999999999999E-2</v>
      </c>
      <c r="BD191" s="1120" t="str">
        <f t="shared" si="96"/>
        <v>07</v>
      </c>
      <c r="BE191" s="1121" t="str">
        <f t="shared" si="97"/>
        <v>03</v>
      </c>
      <c r="BF191" s="1121" t="str">
        <f t="shared" si="97"/>
        <v>413070203</v>
      </c>
      <c r="BG191" s="1122" t="str">
        <f t="shared" si="85"/>
        <v>سیستم محرک</v>
      </c>
      <c r="BH191" s="1122">
        <f t="shared" si="85"/>
        <v>1</v>
      </c>
      <c r="BI191" s="1123">
        <f t="shared" si="86"/>
        <v>1</v>
      </c>
    </row>
    <row r="192" spans="1:61" ht="15" x14ac:dyDescent="0.2">
      <c r="A192" s="1206">
        <v>185</v>
      </c>
      <c r="B192" s="234" t="s">
        <v>264</v>
      </c>
      <c r="C192" s="234" t="s">
        <v>276</v>
      </c>
      <c r="D192" s="237" t="s">
        <v>280</v>
      </c>
      <c r="E192" s="237" t="s">
        <v>285</v>
      </c>
      <c r="F192" s="237" t="s">
        <v>232</v>
      </c>
      <c r="G192" s="1205">
        <v>6</v>
      </c>
      <c r="H192" s="1205">
        <v>6</v>
      </c>
      <c r="I192" s="234">
        <v>90</v>
      </c>
      <c r="J192" s="234">
        <v>1</v>
      </c>
      <c r="K192" s="234" t="s">
        <v>29</v>
      </c>
      <c r="L192" s="321">
        <f>J192*I192*H192*G192*7.85/1000000</f>
        <v>2.5433999999999998E-2</v>
      </c>
      <c r="M192" s="321">
        <f>(((6000-(INT(6000/I192)*I192))/(INT(6000/I192)))+I192)*J192*H192*G192*7.85/1000000</f>
        <v>2.5690909090909091E-2</v>
      </c>
      <c r="N192" s="235">
        <f t="shared" si="122"/>
        <v>1.0101010101010159E-2</v>
      </c>
      <c r="O192" s="642"/>
      <c r="P192" s="593">
        <f t="shared" si="87"/>
        <v>413</v>
      </c>
      <c r="Q192" s="594" t="s">
        <v>40</v>
      </c>
      <c r="R192" s="595" t="str">
        <f t="shared" si="88"/>
        <v>سیستم محرک</v>
      </c>
      <c r="S192" s="595">
        <v>1</v>
      </c>
      <c r="T192" s="633" t="s">
        <v>35</v>
      </c>
      <c r="U192" s="595" t="str">
        <f t="shared" si="89"/>
        <v>انتقال قدرت</v>
      </c>
      <c r="V192" s="234">
        <v>1</v>
      </c>
      <c r="W192" s="633" t="s">
        <v>37</v>
      </c>
      <c r="X192" s="596" t="str">
        <f t="shared" si="90"/>
        <v>413070204</v>
      </c>
      <c r="Y192" s="597" t="str">
        <f t="shared" si="91"/>
        <v>خار شفت الکتروگیربکس 2</v>
      </c>
      <c r="Z192" s="234" t="s">
        <v>381</v>
      </c>
      <c r="AA192" s="598">
        <f t="shared" si="92"/>
        <v>1</v>
      </c>
      <c r="AB192" s="674">
        <f t="shared" si="103"/>
        <v>1</v>
      </c>
      <c r="AC192" s="1004">
        <f t="shared" si="104"/>
        <v>1</v>
      </c>
      <c r="AE192" s="813" t="str">
        <f t="shared" si="93"/>
        <v>413070204</v>
      </c>
      <c r="AF192" s="814" t="str">
        <f t="shared" si="94"/>
        <v>خار شفت الکتروگیربکس 2</v>
      </c>
      <c r="AG192" s="598" t="str">
        <f t="shared" si="95"/>
        <v>Square Bar</v>
      </c>
      <c r="AH192" s="598" t="str">
        <f>F192</f>
        <v>A-36</v>
      </c>
      <c r="AI192" s="234" t="s">
        <v>460</v>
      </c>
      <c r="AJ192" s="1020" t="s">
        <v>479</v>
      </c>
      <c r="AK192" s="1021">
        <f t="shared" si="123"/>
        <v>2.5690909090909091E-2</v>
      </c>
      <c r="AL192" s="598" t="str">
        <f t="shared" si="100"/>
        <v>Kg</v>
      </c>
      <c r="AM192" s="1022">
        <f t="shared" si="109"/>
        <v>2.5690909090909091E-2</v>
      </c>
      <c r="BD192" s="1120" t="str">
        <f t="shared" si="96"/>
        <v>07</v>
      </c>
      <c r="BE192" s="1121" t="str">
        <f t="shared" si="97"/>
        <v>04</v>
      </c>
      <c r="BF192" s="1121" t="str">
        <f t="shared" si="97"/>
        <v>413070204</v>
      </c>
      <c r="BG192" s="1122" t="str">
        <f t="shared" si="85"/>
        <v>سیستم محرک</v>
      </c>
      <c r="BH192" s="1122">
        <f t="shared" si="85"/>
        <v>1</v>
      </c>
      <c r="BI192" s="1123">
        <f t="shared" si="86"/>
        <v>1</v>
      </c>
    </row>
    <row r="193" spans="1:61" ht="15" x14ac:dyDescent="0.2">
      <c r="A193" s="1185">
        <v>186</v>
      </c>
      <c r="B193" s="234" t="s">
        <v>264</v>
      </c>
      <c r="C193" s="234" t="s">
        <v>276</v>
      </c>
      <c r="D193" s="237" t="s">
        <v>281</v>
      </c>
      <c r="E193" s="237" t="s">
        <v>193</v>
      </c>
      <c r="F193" s="237" t="s">
        <v>294</v>
      </c>
      <c r="G193" s="234" t="s">
        <v>199</v>
      </c>
      <c r="H193" s="234" t="s">
        <v>10</v>
      </c>
      <c r="I193" s="234" t="s">
        <v>200</v>
      </c>
      <c r="J193" s="234">
        <v>1</v>
      </c>
      <c r="K193" s="234" t="s">
        <v>30</v>
      </c>
      <c r="L193" s="234">
        <f>J193</f>
        <v>1</v>
      </c>
      <c r="M193" s="234">
        <f>J193</f>
        <v>1</v>
      </c>
      <c r="N193" s="235">
        <f t="shared" si="122"/>
        <v>0</v>
      </c>
      <c r="O193" s="642"/>
      <c r="P193" s="593">
        <f t="shared" si="87"/>
        <v>413</v>
      </c>
      <c r="Q193" s="594" t="s">
        <v>40</v>
      </c>
      <c r="R193" s="595" t="str">
        <f t="shared" si="88"/>
        <v>سیستم محرک</v>
      </c>
      <c r="S193" s="595">
        <v>1</v>
      </c>
      <c r="T193" s="633" t="s">
        <v>35</v>
      </c>
      <c r="U193" s="595" t="str">
        <f t="shared" si="89"/>
        <v>انتقال قدرت</v>
      </c>
      <c r="V193" s="234">
        <v>1</v>
      </c>
      <c r="W193" s="633" t="s">
        <v>38</v>
      </c>
      <c r="X193" s="596" t="str">
        <f t="shared" si="90"/>
        <v>413070205</v>
      </c>
      <c r="Y193" s="597" t="str">
        <f t="shared" si="91"/>
        <v>واشر تخت سر الکترو گیربکس</v>
      </c>
      <c r="Z193" s="234" t="s">
        <v>382</v>
      </c>
      <c r="AA193" s="598">
        <f t="shared" si="92"/>
        <v>1</v>
      </c>
      <c r="AB193" s="674">
        <f t="shared" si="103"/>
        <v>1</v>
      </c>
      <c r="AC193" s="1004">
        <f t="shared" si="104"/>
        <v>1</v>
      </c>
      <c r="AE193" s="813" t="str">
        <f t="shared" si="93"/>
        <v>413070205</v>
      </c>
      <c r="AF193" s="814" t="str">
        <f t="shared" si="94"/>
        <v>واشر تخت سر الکترو گیربکس</v>
      </c>
      <c r="AG193" s="598" t="str">
        <f t="shared" si="95"/>
        <v>Flat Washer</v>
      </c>
      <c r="AH193" s="598" t="str">
        <f t="shared" si="107"/>
        <v>A8x30-S-Electroplated-Din 126</v>
      </c>
      <c r="AI193" s="234" t="s">
        <v>103</v>
      </c>
      <c r="AJ193" s="1020" t="s">
        <v>111</v>
      </c>
      <c r="AK193" s="1021" t="s">
        <v>484</v>
      </c>
      <c r="AL193" s="598" t="str">
        <f t="shared" si="100"/>
        <v>Pcs</v>
      </c>
      <c r="AM193" s="1022">
        <f t="shared" si="109"/>
        <v>1</v>
      </c>
      <c r="BD193" s="1120" t="str">
        <f t="shared" si="96"/>
        <v>07</v>
      </c>
      <c r="BE193" s="1121" t="str">
        <f t="shared" si="97"/>
        <v>05</v>
      </c>
      <c r="BF193" s="1121" t="str">
        <f t="shared" si="97"/>
        <v>413070205</v>
      </c>
      <c r="BG193" s="1122" t="str">
        <f t="shared" si="85"/>
        <v>سیستم محرک</v>
      </c>
      <c r="BH193" s="1122">
        <f t="shared" si="85"/>
        <v>1</v>
      </c>
      <c r="BI193" s="1123">
        <f t="shared" si="86"/>
        <v>1</v>
      </c>
    </row>
    <row r="194" spans="1:61" ht="15.75" thickBot="1" x14ac:dyDescent="0.25">
      <c r="A194" s="1172">
        <v>187</v>
      </c>
      <c r="B194" s="317" t="s">
        <v>264</v>
      </c>
      <c r="C194" s="317" t="s">
        <v>276</v>
      </c>
      <c r="D194" s="318" t="s">
        <v>282</v>
      </c>
      <c r="E194" s="1207" t="s">
        <v>128</v>
      </c>
      <c r="F194" s="318" t="s">
        <v>2</v>
      </c>
      <c r="G194" s="317" t="s">
        <v>2</v>
      </c>
      <c r="H194" s="317">
        <v>20</v>
      </c>
      <c r="I194" s="317">
        <v>3380</v>
      </c>
      <c r="J194" s="317">
        <v>1</v>
      </c>
      <c r="K194" s="317" t="s">
        <v>30</v>
      </c>
      <c r="L194" s="317">
        <f>J194</f>
        <v>1</v>
      </c>
      <c r="M194" s="317">
        <f>J194</f>
        <v>1</v>
      </c>
      <c r="N194" s="319">
        <f t="shared" si="122"/>
        <v>0</v>
      </c>
      <c r="O194" s="642"/>
      <c r="P194" s="599">
        <f t="shared" si="87"/>
        <v>413</v>
      </c>
      <c r="Q194" s="600" t="s">
        <v>40</v>
      </c>
      <c r="R194" s="601" t="str">
        <f t="shared" si="88"/>
        <v>سیستم محرک</v>
      </c>
      <c r="S194" s="601">
        <v>1</v>
      </c>
      <c r="T194" s="634" t="s">
        <v>35</v>
      </c>
      <c r="U194" s="601" t="str">
        <f t="shared" si="89"/>
        <v>انتقال قدرت</v>
      </c>
      <c r="V194" s="317">
        <v>1</v>
      </c>
      <c r="W194" s="634" t="s">
        <v>39</v>
      </c>
      <c r="X194" s="602" t="str">
        <f t="shared" si="90"/>
        <v>413070206</v>
      </c>
      <c r="Y194" s="603" t="str">
        <f>D194</f>
        <v xml:space="preserve">تسمه سبز روتاری </v>
      </c>
      <c r="Z194" s="317" t="s">
        <v>2</v>
      </c>
      <c r="AA194" s="604">
        <f t="shared" si="92"/>
        <v>1</v>
      </c>
      <c r="AB194" s="675">
        <f t="shared" si="103"/>
        <v>1</v>
      </c>
      <c r="AC194" s="1005">
        <f t="shared" si="104"/>
        <v>1</v>
      </c>
      <c r="AE194" s="1098" t="str">
        <f t="shared" si="93"/>
        <v>413070206</v>
      </c>
      <c r="AF194" s="1099" t="str">
        <f t="shared" si="94"/>
        <v xml:space="preserve">تسمه سبز روتاری </v>
      </c>
      <c r="AG194" s="1100" t="str">
        <f t="shared" si="95"/>
        <v>Flat Bar</v>
      </c>
      <c r="AH194" s="1100" t="str">
        <f>F194</f>
        <v>-</v>
      </c>
      <c r="AI194" s="238" t="str">
        <f>"تسمه سبز روتاری"&amp;IF(E1=1500,1500,IF(E1=2000,2000,IF(E1=2500,2500,3000)))</f>
        <v>تسمه سبز روتاری2000</v>
      </c>
      <c r="AJ194" s="1101" t="s">
        <v>410</v>
      </c>
      <c r="AK194" s="1102" t="s">
        <v>484</v>
      </c>
      <c r="AL194" s="1100" t="str">
        <f t="shared" si="100"/>
        <v>Pcs</v>
      </c>
      <c r="AM194" s="1103">
        <f t="shared" si="109"/>
        <v>1</v>
      </c>
      <c r="BD194" s="1120" t="str">
        <f t="shared" si="96"/>
        <v>07</v>
      </c>
      <c r="BE194" s="1121" t="str">
        <f t="shared" si="97"/>
        <v>06</v>
      </c>
      <c r="BF194" s="1121" t="str">
        <f t="shared" si="97"/>
        <v>413070206</v>
      </c>
      <c r="BG194" s="1122" t="str">
        <f t="shared" si="85"/>
        <v>سیستم محرک</v>
      </c>
      <c r="BH194" s="1122">
        <f t="shared" si="85"/>
        <v>1</v>
      </c>
      <c r="BI194" s="1123">
        <f t="shared" si="86"/>
        <v>1</v>
      </c>
    </row>
    <row r="195" spans="1:61" ht="15.75" thickBot="1" x14ac:dyDescent="0.25">
      <c r="A195" s="1177">
        <v>188</v>
      </c>
      <c r="B195" s="314" t="s">
        <v>264</v>
      </c>
      <c r="C195" s="314" t="s">
        <v>286</v>
      </c>
      <c r="D195" s="315" t="s">
        <v>287</v>
      </c>
      <c r="E195" s="314" t="s">
        <v>2</v>
      </c>
      <c r="F195" s="315" t="s">
        <v>2</v>
      </c>
      <c r="G195" s="314" t="s">
        <v>2</v>
      </c>
      <c r="H195" s="1208" t="s">
        <v>2</v>
      </c>
      <c r="I195" s="314" t="s">
        <v>288</v>
      </c>
      <c r="J195" s="314">
        <v>1</v>
      </c>
      <c r="K195" s="314" t="s">
        <v>30</v>
      </c>
      <c r="L195" s="314">
        <f t="shared" ref="L195:L203" si="124">J195</f>
        <v>1</v>
      </c>
      <c r="M195" s="314">
        <f t="shared" ref="M195:M203" si="125">J195</f>
        <v>1</v>
      </c>
      <c r="N195" s="316">
        <f t="shared" si="122"/>
        <v>0</v>
      </c>
      <c r="O195" s="642"/>
      <c r="P195" s="605">
        <f t="shared" si="87"/>
        <v>413</v>
      </c>
      <c r="Q195" s="606" t="s">
        <v>40</v>
      </c>
      <c r="R195" s="420" t="str">
        <f t="shared" si="88"/>
        <v>سیستم محرک</v>
      </c>
      <c r="S195" s="420">
        <v>1</v>
      </c>
      <c r="T195" s="1006" t="s">
        <v>36</v>
      </c>
      <c r="U195" s="420" t="str">
        <f t="shared" si="89"/>
        <v>الکتروگیربکس</v>
      </c>
      <c r="V195" s="1007">
        <v>1</v>
      </c>
      <c r="W195" s="1006" t="s">
        <v>40</v>
      </c>
      <c r="X195" s="421" t="str">
        <f t="shared" si="90"/>
        <v>413070307</v>
      </c>
      <c r="Y195" s="422" t="str">
        <f t="shared" si="91"/>
        <v>الکتروگیربکس روتاری</v>
      </c>
      <c r="Z195" s="1007" t="s">
        <v>383</v>
      </c>
      <c r="AA195" s="397">
        <f t="shared" si="92"/>
        <v>1</v>
      </c>
      <c r="AB195" s="1008">
        <f t="shared" si="103"/>
        <v>1</v>
      </c>
      <c r="AC195" s="1009">
        <f t="shared" si="104"/>
        <v>1</v>
      </c>
      <c r="AE195" s="1104" t="str">
        <f t="shared" si="93"/>
        <v>413070307</v>
      </c>
      <c r="AF195" s="1105" t="str">
        <f t="shared" si="94"/>
        <v>الکتروگیربکس روتاری</v>
      </c>
      <c r="AG195" s="1106" t="str">
        <f t="shared" si="95"/>
        <v>-</v>
      </c>
      <c r="AH195" s="1106" t="str">
        <f>I195</f>
        <v>0.37 kw</v>
      </c>
      <c r="AI195" s="1107" t="s">
        <v>461</v>
      </c>
      <c r="AJ195" s="1108" t="s">
        <v>480</v>
      </c>
      <c r="AK195" s="1109" t="s">
        <v>484</v>
      </c>
      <c r="AL195" s="1106" t="str">
        <f t="shared" si="100"/>
        <v>Pcs</v>
      </c>
      <c r="AM195" s="1110">
        <f t="shared" si="109"/>
        <v>1</v>
      </c>
      <c r="BD195" s="1120" t="str">
        <f t="shared" si="96"/>
        <v>07</v>
      </c>
      <c r="BE195" s="1121" t="str">
        <f t="shared" si="97"/>
        <v>07</v>
      </c>
      <c r="BF195" s="1121" t="str">
        <f t="shared" si="97"/>
        <v>413070307</v>
      </c>
      <c r="BG195" s="1122" t="str">
        <f t="shared" si="85"/>
        <v>سیستم محرک</v>
      </c>
      <c r="BH195" s="1122">
        <f t="shared" si="85"/>
        <v>1</v>
      </c>
      <c r="BI195" s="1123">
        <f t="shared" si="86"/>
        <v>1</v>
      </c>
    </row>
    <row r="196" spans="1:61" ht="15" x14ac:dyDescent="0.2">
      <c r="A196" s="1170">
        <v>189</v>
      </c>
      <c r="B196" s="232" t="s">
        <v>264</v>
      </c>
      <c r="C196" s="232" t="s">
        <v>289</v>
      </c>
      <c r="D196" s="236" t="s">
        <v>290</v>
      </c>
      <c r="E196" s="236" t="s">
        <v>8</v>
      </c>
      <c r="F196" s="236" t="s">
        <v>163</v>
      </c>
      <c r="G196" s="232">
        <v>5.6</v>
      </c>
      <c r="H196" s="232" t="s">
        <v>10</v>
      </c>
      <c r="I196" s="232" t="s">
        <v>20</v>
      </c>
      <c r="J196" s="232">
        <v>4</v>
      </c>
      <c r="K196" s="232" t="s">
        <v>30</v>
      </c>
      <c r="L196" s="232">
        <f t="shared" si="124"/>
        <v>4</v>
      </c>
      <c r="M196" s="232">
        <f t="shared" si="125"/>
        <v>4</v>
      </c>
      <c r="N196" s="233">
        <f t="shared" si="122"/>
        <v>0</v>
      </c>
      <c r="O196" s="642"/>
      <c r="P196" s="587">
        <f t="shared" si="87"/>
        <v>413</v>
      </c>
      <c r="Q196" s="588" t="s">
        <v>40</v>
      </c>
      <c r="R196" s="589" t="str">
        <f t="shared" si="88"/>
        <v>سیستم محرک</v>
      </c>
      <c r="S196" s="589">
        <v>1</v>
      </c>
      <c r="T196" s="632" t="s">
        <v>37</v>
      </c>
      <c r="U196" s="589" t="str">
        <f t="shared" si="89"/>
        <v>اتصالات الکتروگیربکس</v>
      </c>
      <c r="V196" s="232">
        <v>1</v>
      </c>
      <c r="W196" s="632" t="s">
        <v>34</v>
      </c>
      <c r="X196" s="590" t="str">
        <f t="shared" si="90"/>
        <v>413070401</v>
      </c>
      <c r="Y196" s="591" t="str">
        <f t="shared" si="91"/>
        <v>پیچ اتصال الکتروگیربکس</v>
      </c>
      <c r="Z196" s="232" t="s">
        <v>163</v>
      </c>
      <c r="AA196" s="592">
        <f t="shared" si="92"/>
        <v>4</v>
      </c>
      <c r="AB196" s="673">
        <f t="shared" si="103"/>
        <v>4</v>
      </c>
      <c r="AC196" s="1003">
        <f t="shared" si="104"/>
        <v>4</v>
      </c>
      <c r="AE196" s="811" t="str">
        <f t="shared" si="93"/>
        <v>413070401</v>
      </c>
      <c r="AF196" s="812" t="str">
        <f t="shared" si="94"/>
        <v>پیچ اتصال الکتروگیربکس</v>
      </c>
      <c r="AG196" s="592" t="str">
        <f t="shared" si="95"/>
        <v>Hex Bolt</v>
      </c>
      <c r="AH196" s="592" t="str">
        <f t="shared" si="107"/>
        <v>M8x30-5.6-Electroplated-Din 933</v>
      </c>
      <c r="AI196" s="232" t="s">
        <v>433</v>
      </c>
      <c r="AJ196" s="1017" t="s">
        <v>392</v>
      </c>
      <c r="AK196" s="1018" t="s">
        <v>484</v>
      </c>
      <c r="AL196" s="592" t="str">
        <f t="shared" si="100"/>
        <v>Pcs</v>
      </c>
      <c r="AM196" s="1019">
        <f t="shared" si="109"/>
        <v>4</v>
      </c>
      <c r="BD196" s="1120" t="str">
        <f t="shared" si="96"/>
        <v>07</v>
      </c>
      <c r="BE196" s="1121" t="str">
        <f t="shared" si="97"/>
        <v>01</v>
      </c>
      <c r="BF196" s="1121" t="str">
        <f t="shared" si="97"/>
        <v>413070401</v>
      </c>
      <c r="BG196" s="1122" t="str">
        <f t="shared" si="85"/>
        <v>سیستم محرک</v>
      </c>
      <c r="BH196" s="1122">
        <f t="shared" si="85"/>
        <v>1</v>
      </c>
      <c r="BI196" s="1123">
        <f t="shared" si="86"/>
        <v>1</v>
      </c>
    </row>
    <row r="197" spans="1:61" ht="15" x14ac:dyDescent="0.2">
      <c r="A197" s="1171">
        <v>190</v>
      </c>
      <c r="B197" s="234" t="s">
        <v>264</v>
      </c>
      <c r="C197" s="234" t="s">
        <v>289</v>
      </c>
      <c r="D197" s="237" t="s">
        <v>291</v>
      </c>
      <c r="E197" s="237" t="s">
        <v>9</v>
      </c>
      <c r="F197" s="237" t="s">
        <v>27</v>
      </c>
      <c r="G197" s="234">
        <v>5</v>
      </c>
      <c r="H197" s="234" t="s">
        <v>10</v>
      </c>
      <c r="I197" s="234" t="s">
        <v>21</v>
      </c>
      <c r="J197" s="234">
        <v>4</v>
      </c>
      <c r="K197" s="234" t="s">
        <v>30</v>
      </c>
      <c r="L197" s="234">
        <f t="shared" si="124"/>
        <v>4</v>
      </c>
      <c r="M197" s="234">
        <f t="shared" si="125"/>
        <v>4</v>
      </c>
      <c r="N197" s="235">
        <f t="shared" si="122"/>
        <v>0</v>
      </c>
      <c r="O197" s="642"/>
      <c r="P197" s="593">
        <f t="shared" si="87"/>
        <v>413</v>
      </c>
      <c r="Q197" s="594" t="s">
        <v>40</v>
      </c>
      <c r="R197" s="595" t="str">
        <f t="shared" si="88"/>
        <v>سیستم محرک</v>
      </c>
      <c r="S197" s="595">
        <v>1</v>
      </c>
      <c r="T197" s="633" t="s">
        <v>37</v>
      </c>
      <c r="U197" s="595" t="str">
        <f t="shared" si="89"/>
        <v>اتصالات الکتروگیربکس</v>
      </c>
      <c r="V197" s="234">
        <v>1</v>
      </c>
      <c r="W197" s="633" t="s">
        <v>35</v>
      </c>
      <c r="X197" s="596" t="str">
        <f t="shared" si="90"/>
        <v>413070402</v>
      </c>
      <c r="Y197" s="597" t="str">
        <f t="shared" si="91"/>
        <v>مهره اتصال الکتروگیربکس</v>
      </c>
      <c r="Z197" s="234" t="s">
        <v>27</v>
      </c>
      <c r="AA197" s="598">
        <f t="shared" si="92"/>
        <v>4</v>
      </c>
      <c r="AB197" s="674">
        <f t="shared" si="103"/>
        <v>4</v>
      </c>
      <c r="AC197" s="1004">
        <f t="shared" si="104"/>
        <v>4</v>
      </c>
      <c r="AE197" s="813" t="str">
        <f t="shared" si="93"/>
        <v>413070402</v>
      </c>
      <c r="AF197" s="814" t="str">
        <f t="shared" si="94"/>
        <v>مهره اتصال الکتروگیربکس</v>
      </c>
      <c r="AG197" s="598" t="str">
        <f t="shared" si="95"/>
        <v>Hex Nut</v>
      </c>
      <c r="AH197" s="598" t="str">
        <f t="shared" si="107"/>
        <v>M8-5-Electroplated-Din 934</v>
      </c>
      <c r="AI197" s="1140" t="s">
        <v>416</v>
      </c>
      <c r="AJ197" s="1020" t="s">
        <v>110</v>
      </c>
      <c r="AK197" s="1021" t="s">
        <v>484</v>
      </c>
      <c r="AL197" s="598" t="str">
        <f t="shared" si="100"/>
        <v>Pcs</v>
      </c>
      <c r="AM197" s="1022">
        <f t="shared" si="109"/>
        <v>4</v>
      </c>
      <c r="BD197" s="1120" t="str">
        <f t="shared" si="96"/>
        <v>07</v>
      </c>
      <c r="BE197" s="1121" t="str">
        <f t="shared" si="97"/>
        <v>02</v>
      </c>
      <c r="BF197" s="1121" t="str">
        <f t="shared" si="97"/>
        <v>413070402</v>
      </c>
      <c r="BG197" s="1122" t="str">
        <f t="shared" si="85"/>
        <v>سیستم محرک</v>
      </c>
      <c r="BH197" s="1122">
        <f t="shared" si="85"/>
        <v>1</v>
      </c>
      <c r="BI197" s="1123">
        <f t="shared" si="86"/>
        <v>1</v>
      </c>
    </row>
    <row r="198" spans="1:61" ht="15" x14ac:dyDescent="0.2">
      <c r="A198" s="1171">
        <v>191</v>
      </c>
      <c r="B198" s="234" t="s">
        <v>264</v>
      </c>
      <c r="C198" s="234" t="s">
        <v>289</v>
      </c>
      <c r="D198" s="237" t="s">
        <v>292</v>
      </c>
      <c r="E198" s="237" t="s">
        <v>193</v>
      </c>
      <c r="F198" s="237" t="s">
        <v>294</v>
      </c>
      <c r="G198" s="234" t="s">
        <v>199</v>
      </c>
      <c r="H198" s="234" t="s">
        <v>10</v>
      </c>
      <c r="I198" s="234" t="s">
        <v>200</v>
      </c>
      <c r="J198" s="234">
        <v>4</v>
      </c>
      <c r="K198" s="234" t="s">
        <v>30</v>
      </c>
      <c r="L198" s="234">
        <f t="shared" si="124"/>
        <v>4</v>
      </c>
      <c r="M198" s="234">
        <f t="shared" si="125"/>
        <v>4</v>
      </c>
      <c r="N198" s="235">
        <f t="shared" si="122"/>
        <v>0</v>
      </c>
      <c r="O198" s="642"/>
      <c r="P198" s="593">
        <f t="shared" si="87"/>
        <v>413</v>
      </c>
      <c r="Q198" s="594" t="s">
        <v>40</v>
      </c>
      <c r="R198" s="595" t="str">
        <f t="shared" si="88"/>
        <v>سیستم محرک</v>
      </c>
      <c r="S198" s="595">
        <v>1</v>
      </c>
      <c r="T198" s="633" t="s">
        <v>37</v>
      </c>
      <c r="U198" s="595" t="str">
        <f t="shared" si="89"/>
        <v>اتصالات الکتروگیربکس</v>
      </c>
      <c r="V198" s="234">
        <v>1</v>
      </c>
      <c r="W198" s="633" t="s">
        <v>36</v>
      </c>
      <c r="X198" s="596" t="str">
        <f t="shared" si="90"/>
        <v>413070403</v>
      </c>
      <c r="Y198" s="597" t="str">
        <f t="shared" si="91"/>
        <v>واشر تخت الکترو گیربکس</v>
      </c>
      <c r="Z198" s="234" t="s">
        <v>382</v>
      </c>
      <c r="AA198" s="598">
        <f t="shared" si="92"/>
        <v>4</v>
      </c>
      <c r="AB198" s="674">
        <f t="shared" si="103"/>
        <v>4</v>
      </c>
      <c r="AC198" s="1004">
        <f t="shared" si="104"/>
        <v>4</v>
      </c>
      <c r="AE198" s="813" t="str">
        <f t="shared" si="93"/>
        <v>413070403</v>
      </c>
      <c r="AF198" s="814" t="str">
        <f t="shared" si="94"/>
        <v>واشر تخت الکترو گیربکس</v>
      </c>
      <c r="AG198" s="598" t="str">
        <f t="shared" si="95"/>
        <v>Flat Washer</v>
      </c>
      <c r="AH198" s="598" t="str">
        <f t="shared" si="107"/>
        <v>A8x30-S-Electroplated-Din 126</v>
      </c>
      <c r="AI198" s="234" t="s">
        <v>103</v>
      </c>
      <c r="AJ198" s="1020" t="s">
        <v>111</v>
      </c>
      <c r="AK198" s="1021" t="s">
        <v>484</v>
      </c>
      <c r="AL198" s="598" t="str">
        <f t="shared" si="100"/>
        <v>Pcs</v>
      </c>
      <c r="AM198" s="1022">
        <f t="shared" si="109"/>
        <v>4</v>
      </c>
      <c r="BD198" s="1120" t="str">
        <f t="shared" si="96"/>
        <v>07</v>
      </c>
      <c r="BE198" s="1121" t="str">
        <f t="shared" si="97"/>
        <v>03</v>
      </c>
      <c r="BF198" s="1121" t="str">
        <f t="shared" si="97"/>
        <v>413070403</v>
      </c>
      <c r="BG198" s="1122" t="str">
        <f t="shared" si="85"/>
        <v>سیستم محرک</v>
      </c>
      <c r="BH198" s="1122">
        <f t="shared" si="85"/>
        <v>1</v>
      </c>
      <c r="BI198" s="1123">
        <f t="shared" si="86"/>
        <v>1</v>
      </c>
    </row>
    <row r="199" spans="1:61" ht="15.75" thickBot="1" x14ac:dyDescent="0.25">
      <c r="A199" s="1174">
        <v>192</v>
      </c>
      <c r="B199" s="238" t="s">
        <v>264</v>
      </c>
      <c r="C199" s="238" t="s">
        <v>289</v>
      </c>
      <c r="D199" s="239" t="s">
        <v>293</v>
      </c>
      <c r="E199" s="239" t="s">
        <v>18</v>
      </c>
      <c r="F199" s="239" t="s">
        <v>28</v>
      </c>
      <c r="G199" s="238" t="s">
        <v>24</v>
      </c>
      <c r="H199" s="238" t="s">
        <v>10</v>
      </c>
      <c r="I199" s="238" t="s">
        <v>22</v>
      </c>
      <c r="J199" s="238">
        <v>4</v>
      </c>
      <c r="K199" s="238" t="s">
        <v>30</v>
      </c>
      <c r="L199" s="238">
        <f t="shared" si="124"/>
        <v>4</v>
      </c>
      <c r="M199" s="238">
        <f t="shared" si="125"/>
        <v>4</v>
      </c>
      <c r="N199" s="240">
        <f t="shared" si="122"/>
        <v>0</v>
      </c>
      <c r="O199" s="642"/>
      <c r="P199" s="599">
        <f t="shared" si="87"/>
        <v>413</v>
      </c>
      <c r="Q199" s="600" t="s">
        <v>40</v>
      </c>
      <c r="R199" s="601" t="str">
        <f t="shared" si="88"/>
        <v>سیستم محرک</v>
      </c>
      <c r="S199" s="601">
        <v>1</v>
      </c>
      <c r="T199" s="634" t="s">
        <v>37</v>
      </c>
      <c r="U199" s="601" t="str">
        <f t="shared" si="89"/>
        <v>اتصالات الکتروگیربکس</v>
      </c>
      <c r="V199" s="317">
        <v>1</v>
      </c>
      <c r="W199" s="634" t="s">
        <v>37</v>
      </c>
      <c r="X199" s="602" t="str">
        <f t="shared" si="90"/>
        <v>413070404</v>
      </c>
      <c r="Y199" s="603" t="str">
        <f t="shared" si="91"/>
        <v>واشر فنری الکترو گیربکس</v>
      </c>
      <c r="Z199" s="317" t="s">
        <v>28</v>
      </c>
      <c r="AA199" s="604">
        <f t="shared" si="92"/>
        <v>4</v>
      </c>
      <c r="AB199" s="675">
        <f t="shared" si="103"/>
        <v>4</v>
      </c>
      <c r="AC199" s="1005">
        <f t="shared" si="104"/>
        <v>4</v>
      </c>
      <c r="AE199" s="815" t="str">
        <f t="shared" si="93"/>
        <v>413070404</v>
      </c>
      <c r="AF199" s="816" t="str">
        <f t="shared" si="94"/>
        <v>واشر فنری الکترو گیربکس</v>
      </c>
      <c r="AG199" s="604" t="str">
        <f t="shared" si="95"/>
        <v>Spring Washer</v>
      </c>
      <c r="AH199" s="604" t="str">
        <f t="shared" si="107"/>
        <v>A8-F-Electroplated-Din 127</v>
      </c>
      <c r="AI199" s="317" t="s">
        <v>417</v>
      </c>
      <c r="AJ199" s="1023" t="s">
        <v>384</v>
      </c>
      <c r="AK199" s="1024" t="s">
        <v>484</v>
      </c>
      <c r="AL199" s="604" t="str">
        <f t="shared" si="100"/>
        <v>Pcs</v>
      </c>
      <c r="AM199" s="1025">
        <f t="shared" si="109"/>
        <v>4</v>
      </c>
      <c r="BD199" s="1120" t="str">
        <f t="shared" si="96"/>
        <v>07</v>
      </c>
      <c r="BE199" s="1121" t="str">
        <f t="shared" si="97"/>
        <v>04</v>
      </c>
      <c r="BF199" s="1121" t="str">
        <f t="shared" si="97"/>
        <v>413070404</v>
      </c>
      <c r="BG199" s="1122" t="str">
        <f t="shared" si="85"/>
        <v>سیستم محرک</v>
      </c>
      <c r="BH199" s="1122">
        <f t="shared" si="85"/>
        <v>1</v>
      </c>
      <c r="BI199" s="1123">
        <f t="shared" si="86"/>
        <v>1</v>
      </c>
    </row>
    <row r="200" spans="1:61" ht="15" x14ac:dyDescent="0.2">
      <c r="A200" s="1170">
        <v>193</v>
      </c>
      <c r="B200" s="223" t="s">
        <v>264</v>
      </c>
      <c r="C200" s="223" t="s">
        <v>295</v>
      </c>
      <c r="D200" s="224" t="s">
        <v>296</v>
      </c>
      <c r="E200" s="224" t="s">
        <v>8</v>
      </c>
      <c r="F200" s="224" t="s">
        <v>26</v>
      </c>
      <c r="G200" s="223">
        <v>5.6</v>
      </c>
      <c r="H200" s="223" t="s">
        <v>10</v>
      </c>
      <c r="I200" s="223" t="s">
        <v>20</v>
      </c>
      <c r="J200" s="223">
        <v>4</v>
      </c>
      <c r="K200" s="223" t="s">
        <v>30</v>
      </c>
      <c r="L200" s="223">
        <f t="shared" si="124"/>
        <v>4</v>
      </c>
      <c r="M200" s="223">
        <f t="shared" si="125"/>
        <v>4</v>
      </c>
      <c r="N200" s="225">
        <f t="shared" si="122"/>
        <v>0</v>
      </c>
      <c r="O200" s="642"/>
      <c r="P200" s="370">
        <f t="shared" si="87"/>
        <v>413</v>
      </c>
      <c r="Q200" s="44" t="s">
        <v>40</v>
      </c>
      <c r="R200" s="21" t="str">
        <f t="shared" si="88"/>
        <v>سیستم محرک</v>
      </c>
      <c r="S200" s="21">
        <v>1</v>
      </c>
      <c r="T200" s="630" t="s">
        <v>38</v>
      </c>
      <c r="U200" s="21" t="str">
        <f t="shared" si="89"/>
        <v>اتصالات صفحه الکتروگیربکس</v>
      </c>
      <c r="V200" s="223">
        <v>1</v>
      </c>
      <c r="W200" s="630" t="s">
        <v>34</v>
      </c>
      <c r="X200" s="45" t="str">
        <f t="shared" si="90"/>
        <v>413070501</v>
      </c>
      <c r="Y200" s="23" t="str">
        <f t="shared" si="91"/>
        <v>پیچ اتصال صفحه الکترو گیربکس</v>
      </c>
      <c r="Z200" s="223" t="s">
        <v>26</v>
      </c>
      <c r="AA200" s="22">
        <f t="shared" si="92"/>
        <v>4</v>
      </c>
      <c r="AB200" s="671">
        <f t="shared" si="103"/>
        <v>4</v>
      </c>
      <c r="AC200" s="1000">
        <f t="shared" si="104"/>
        <v>4</v>
      </c>
      <c r="AE200" s="1012" t="str">
        <f t="shared" si="93"/>
        <v>413070501</v>
      </c>
      <c r="AF200" s="1013" t="str">
        <f t="shared" si="94"/>
        <v>پیچ اتصال صفحه الکترو گیربکس</v>
      </c>
      <c r="AG200" s="363" t="str">
        <f t="shared" si="95"/>
        <v>Hex Bolt</v>
      </c>
      <c r="AH200" s="363" t="str">
        <f t="shared" si="107"/>
        <v>M8x20-5.6-Electroplated-Din 933</v>
      </c>
      <c r="AI200" s="999" t="s">
        <v>415</v>
      </c>
      <c r="AJ200" s="1014" t="s">
        <v>109</v>
      </c>
      <c r="AK200" s="1015" t="s">
        <v>484</v>
      </c>
      <c r="AL200" s="363" t="str">
        <f t="shared" si="100"/>
        <v>Pcs</v>
      </c>
      <c r="AM200" s="1016">
        <f t="shared" si="109"/>
        <v>4</v>
      </c>
      <c r="BD200" s="1120" t="str">
        <f t="shared" si="96"/>
        <v>07</v>
      </c>
      <c r="BE200" s="1121" t="str">
        <f t="shared" si="97"/>
        <v>01</v>
      </c>
      <c r="BF200" s="1121" t="str">
        <f t="shared" si="97"/>
        <v>413070501</v>
      </c>
      <c r="BG200" s="1122" t="str">
        <f t="shared" ref="BG200:BH203" si="126">R200</f>
        <v>سیستم محرک</v>
      </c>
      <c r="BH200" s="1122">
        <f t="shared" si="126"/>
        <v>1</v>
      </c>
      <c r="BI200" s="1123">
        <f t="shared" ref="BI200:BI203" si="127">BH200*BA$5</f>
        <v>1</v>
      </c>
    </row>
    <row r="201" spans="1:61" ht="15" x14ac:dyDescent="0.2">
      <c r="A201" s="1171">
        <v>194</v>
      </c>
      <c r="B201" s="226" t="s">
        <v>264</v>
      </c>
      <c r="C201" s="226" t="s">
        <v>295</v>
      </c>
      <c r="D201" s="227" t="s">
        <v>297</v>
      </c>
      <c r="E201" s="227" t="s">
        <v>9</v>
      </c>
      <c r="F201" s="227" t="s">
        <v>27</v>
      </c>
      <c r="G201" s="226">
        <v>5</v>
      </c>
      <c r="H201" s="226" t="s">
        <v>10</v>
      </c>
      <c r="I201" s="226" t="s">
        <v>21</v>
      </c>
      <c r="J201" s="226">
        <v>4</v>
      </c>
      <c r="K201" s="226" t="s">
        <v>30</v>
      </c>
      <c r="L201" s="226">
        <f t="shared" si="124"/>
        <v>4</v>
      </c>
      <c r="M201" s="226">
        <f t="shared" si="125"/>
        <v>4</v>
      </c>
      <c r="N201" s="228">
        <f t="shared" si="122"/>
        <v>0</v>
      </c>
      <c r="O201" s="642"/>
      <c r="P201" s="371">
        <f t="shared" ref="P201:P203" si="128">IF(E194=1500,410,IF(E194=2000,411,IF(E194=2500,412,413)))</f>
        <v>413</v>
      </c>
      <c r="Q201" s="46" t="s">
        <v>40</v>
      </c>
      <c r="R201" s="24" t="str">
        <f t="shared" ref="R201:R203" si="129">B201</f>
        <v>سیستم محرک</v>
      </c>
      <c r="S201" s="24">
        <v>1</v>
      </c>
      <c r="T201" s="631" t="s">
        <v>38</v>
      </c>
      <c r="U201" s="24" t="str">
        <f t="shared" ref="U201:U203" si="130">C201</f>
        <v>اتصالات صفحه الکتروگیربکس</v>
      </c>
      <c r="V201" s="226">
        <v>1</v>
      </c>
      <c r="W201" s="631" t="s">
        <v>35</v>
      </c>
      <c r="X201" s="47" t="str">
        <f t="shared" ref="X201:X203" si="131">P201&amp;Q201&amp;T201&amp;W201</f>
        <v>413070502</v>
      </c>
      <c r="Y201" s="26" t="str">
        <f t="shared" ref="Y201:Y203" si="132">D201</f>
        <v>مهره اتصال صفحه الکترو گیربکس</v>
      </c>
      <c r="Z201" s="226" t="s">
        <v>340</v>
      </c>
      <c r="AA201" s="25">
        <f t="shared" ref="AA201:AA203" si="133">J201</f>
        <v>4</v>
      </c>
      <c r="AB201" s="672">
        <f t="shared" si="103"/>
        <v>4</v>
      </c>
      <c r="AC201" s="1001">
        <f t="shared" si="104"/>
        <v>4</v>
      </c>
      <c r="AE201" s="719" t="str">
        <f t="shared" ref="AE201:AE203" si="134">X201</f>
        <v>413070502</v>
      </c>
      <c r="AF201" s="720" t="str">
        <f t="shared" ref="AF201:AF203" si="135">Y201</f>
        <v>مهره اتصال صفحه الکترو گیربکس</v>
      </c>
      <c r="AG201" s="25" t="str">
        <f t="shared" ref="AG201:AG203" si="136">E201</f>
        <v>Hex Nut</v>
      </c>
      <c r="AH201" s="25" t="str">
        <f t="shared" ref="AH201:AH203" si="137">F201&amp;"-"&amp;G201&amp;"-"&amp;H201&amp;"-"&amp;I201</f>
        <v>M8-5-Electroplated-Din 934</v>
      </c>
      <c r="AI201" s="1141" t="s">
        <v>416</v>
      </c>
      <c r="AJ201" s="873" t="s">
        <v>110</v>
      </c>
      <c r="AK201" s="910" t="s">
        <v>484</v>
      </c>
      <c r="AL201" s="25" t="str">
        <f t="shared" si="100"/>
        <v>Pcs</v>
      </c>
      <c r="AM201" s="1010">
        <f t="shared" si="109"/>
        <v>4</v>
      </c>
      <c r="BD201" s="1120" t="str">
        <f t="shared" ref="BD201:BD203" si="138">Q201</f>
        <v>07</v>
      </c>
      <c r="BE201" s="1121" t="str">
        <f t="shared" ref="BE201:BF203" si="139">W201</f>
        <v>02</v>
      </c>
      <c r="BF201" s="1121" t="str">
        <f t="shared" si="139"/>
        <v>413070502</v>
      </c>
      <c r="BG201" s="1122" t="str">
        <f t="shared" si="126"/>
        <v>سیستم محرک</v>
      </c>
      <c r="BH201" s="1122">
        <f t="shared" si="126"/>
        <v>1</v>
      </c>
      <c r="BI201" s="1123">
        <f t="shared" si="127"/>
        <v>1</v>
      </c>
    </row>
    <row r="202" spans="1:61" ht="15" x14ac:dyDescent="0.2">
      <c r="A202" s="1171">
        <v>195</v>
      </c>
      <c r="B202" s="226" t="s">
        <v>264</v>
      </c>
      <c r="C202" s="226" t="s">
        <v>295</v>
      </c>
      <c r="D202" s="227" t="s">
        <v>298</v>
      </c>
      <c r="E202" s="227" t="s">
        <v>193</v>
      </c>
      <c r="F202" s="227" t="s">
        <v>300</v>
      </c>
      <c r="G202" s="226" t="s">
        <v>199</v>
      </c>
      <c r="H202" s="226" t="s">
        <v>10</v>
      </c>
      <c r="I202" s="226" t="s">
        <v>301</v>
      </c>
      <c r="J202" s="226">
        <v>4</v>
      </c>
      <c r="K202" s="226" t="s">
        <v>30</v>
      </c>
      <c r="L202" s="226">
        <f t="shared" si="124"/>
        <v>4</v>
      </c>
      <c r="M202" s="226">
        <f t="shared" si="125"/>
        <v>4</v>
      </c>
      <c r="N202" s="228">
        <f t="shared" si="122"/>
        <v>0</v>
      </c>
      <c r="O202" s="642"/>
      <c r="P202" s="371">
        <f t="shared" si="128"/>
        <v>413</v>
      </c>
      <c r="Q202" s="46" t="s">
        <v>40</v>
      </c>
      <c r="R202" s="24" t="str">
        <f t="shared" si="129"/>
        <v>سیستم محرک</v>
      </c>
      <c r="S202" s="24">
        <v>1</v>
      </c>
      <c r="T202" s="631" t="s">
        <v>38</v>
      </c>
      <c r="U202" s="24" t="str">
        <f t="shared" si="130"/>
        <v>اتصالات صفحه الکتروگیربکس</v>
      </c>
      <c r="V202" s="226">
        <v>1</v>
      </c>
      <c r="W202" s="631" t="s">
        <v>36</v>
      </c>
      <c r="X202" s="47" t="str">
        <f t="shared" si="131"/>
        <v>413070503</v>
      </c>
      <c r="Y202" s="26" t="str">
        <f t="shared" si="132"/>
        <v>واشر تخت  صفحه الکترو گیربکس</v>
      </c>
      <c r="Z202" s="226" t="s">
        <v>28</v>
      </c>
      <c r="AA202" s="25">
        <f t="shared" si="133"/>
        <v>4</v>
      </c>
      <c r="AB202" s="672">
        <f t="shared" si="103"/>
        <v>4</v>
      </c>
      <c r="AC202" s="1001">
        <f t="shared" si="104"/>
        <v>4</v>
      </c>
      <c r="AE202" s="719" t="str">
        <f t="shared" si="134"/>
        <v>413070503</v>
      </c>
      <c r="AF202" s="720" t="str">
        <f t="shared" si="135"/>
        <v>واشر تخت  صفحه الکترو گیربکس</v>
      </c>
      <c r="AG202" s="25" t="str">
        <f t="shared" si="136"/>
        <v>Flat Washer</v>
      </c>
      <c r="AH202" s="25" t="str">
        <f t="shared" si="137"/>
        <v>A8x20-S-Electroplated-Din126</v>
      </c>
      <c r="AI202" s="226" t="s">
        <v>462</v>
      </c>
      <c r="AJ202" s="873" t="s">
        <v>411</v>
      </c>
      <c r="AK202" s="910" t="s">
        <v>484</v>
      </c>
      <c r="AL202" s="25" t="str">
        <f t="shared" ref="AL202:AL203" si="140">K202</f>
        <v>Pcs</v>
      </c>
      <c r="AM202" s="1010">
        <f t="shared" si="109"/>
        <v>4</v>
      </c>
      <c r="BD202" s="1120" t="str">
        <f t="shared" si="138"/>
        <v>07</v>
      </c>
      <c r="BE202" s="1121" t="str">
        <f t="shared" si="139"/>
        <v>03</v>
      </c>
      <c r="BF202" s="1121" t="str">
        <f t="shared" si="139"/>
        <v>413070503</v>
      </c>
      <c r="BG202" s="1122" t="str">
        <f t="shared" si="126"/>
        <v>سیستم محرک</v>
      </c>
      <c r="BH202" s="1122">
        <f t="shared" si="126"/>
        <v>1</v>
      </c>
      <c r="BI202" s="1123">
        <f t="shared" si="127"/>
        <v>1</v>
      </c>
    </row>
    <row r="203" spans="1:61" ht="15.75" thickBot="1" x14ac:dyDescent="0.25">
      <c r="A203" s="1172">
        <v>196</v>
      </c>
      <c r="B203" s="229" t="s">
        <v>264</v>
      </c>
      <c r="C203" s="229" t="s">
        <v>295</v>
      </c>
      <c r="D203" s="230" t="s">
        <v>299</v>
      </c>
      <c r="E203" s="230" t="s">
        <v>18</v>
      </c>
      <c r="F203" s="230" t="s">
        <v>28</v>
      </c>
      <c r="G203" s="229" t="s">
        <v>24</v>
      </c>
      <c r="H203" s="229" t="s">
        <v>10</v>
      </c>
      <c r="I203" s="229" t="s">
        <v>22</v>
      </c>
      <c r="J203" s="229">
        <v>4</v>
      </c>
      <c r="K203" s="229" t="s">
        <v>30</v>
      </c>
      <c r="L203" s="229">
        <f t="shared" si="124"/>
        <v>4</v>
      </c>
      <c r="M203" s="229">
        <f t="shared" si="125"/>
        <v>4</v>
      </c>
      <c r="N203" s="231">
        <f t="shared" si="122"/>
        <v>0</v>
      </c>
      <c r="O203" s="642"/>
      <c r="P203" s="372">
        <f t="shared" si="128"/>
        <v>413</v>
      </c>
      <c r="Q203" s="60" t="s">
        <v>40</v>
      </c>
      <c r="R203" s="59" t="str">
        <f t="shared" si="129"/>
        <v>سیستم محرک</v>
      </c>
      <c r="S203" s="59">
        <v>1</v>
      </c>
      <c r="T203" s="635" t="s">
        <v>38</v>
      </c>
      <c r="U203" s="59" t="str">
        <f t="shared" si="130"/>
        <v>اتصالات صفحه الکتروگیربکس</v>
      </c>
      <c r="V203" s="229">
        <v>1</v>
      </c>
      <c r="W203" s="635" t="s">
        <v>37</v>
      </c>
      <c r="X203" s="61" t="str">
        <f t="shared" si="131"/>
        <v>413070504</v>
      </c>
      <c r="Y203" s="62" t="str">
        <f t="shared" si="132"/>
        <v>واشر فنری صفحه الکترو گیربکس</v>
      </c>
      <c r="Z203" s="229" t="s">
        <v>28</v>
      </c>
      <c r="AA203" s="32">
        <f t="shared" si="133"/>
        <v>4</v>
      </c>
      <c r="AB203" s="676">
        <f t="shared" si="103"/>
        <v>4</v>
      </c>
      <c r="AC203" s="1002">
        <f t="shared" si="104"/>
        <v>4</v>
      </c>
      <c r="AE203" s="721" t="str">
        <f t="shared" si="134"/>
        <v>413070504</v>
      </c>
      <c r="AF203" s="722" t="str">
        <f t="shared" si="135"/>
        <v>واشر فنری صفحه الکترو گیربکس</v>
      </c>
      <c r="AG203" s="32" t="str">
        <f t="shared" si="136"/>
        <v>Spring Washer</v>
      </c>
      <c r="AH203" s="32" t="str">
        <f t="shared" si="137"/>
        <v>A8-F-Electroplated-Din 127</v>
      </c>
      <c r="AI203" s="229" t="s">
        <v>417</v>
      </c>
      <c r="AJ203" s="875" t="s">
        <v>384</v>
      </c>
      <c r="AK203" s="912" t="s">
        <v>484</v>
      </c>
      <c r="AL203" s="32" t="str">
        <f t="shared" si="140"/>
        <v>Pcs</v>
      </c>
      <c r="AM203" s="1011">
        <f t="shared" si="109"/>
        <v>4</v>
      </c>
      <c r="BD203" s="1124" t="str">
        <f t="shared" si="138"/>
        <v>07</v>
      </c>
      <c r="BE203" s="1125" t="str">
        <f t="shared" si="139"/>
        <v>04</v>
      </c>
      <c r="BF203" s="1125" t="str">
        <f t="shared" si="139"/>
        <v>413070504</v>
      </c>
      <c r="BG203" s="1126" t="str">
        <f t="shared" si="126"/>
        <v>سیستم محرک</v>
      </c>
      <c r="BH203" s="1126">
        <f t="shared" si="126"/>
        <v>1</v>
      </c>
      <c r="BI203" s="1127">
        <f t="shared" si="127"/>
        <v>1</v>
      </c>
    </row>
    <row r="204" spans="1:61" x14ac:dyDescent="0.2">
      <c r="A204" s="241"/>
    </row>
    <row r="205" spans="1:61" x14ac:dyDescent="0.2">
      <c r="A205" s="241"/>
    </row>
    <row r="206" spans="1:61" x14ac:dyDescent="0.2">
      <c r="A206" s="241"/>
    </row>
    <row r="207" spans="1:61" x14ac:dyDescent="0.2">
      <c r="A207" s="241"/>
    </row>
    <row r="208" spans="1:61" x14ac:dyDescent="0.2">
      <c r="A208" s="241"/>
    </row>
    <row r="209" spans="1:1" x14ac:dyDescent="0.2">
      <c r="A209" s="241"/>
    </row>
    <row r="210" spans="1:1" x14ac:dyDescent="0.2">
      <c r="A210" s="241"/>
    </row>
    <row r="211" spans="1:1" x14ac:dyDescent="0.2">
      <c r="A211" s="241"/>
    </row>
    <row r="212" spans="1:1" x14ac:dyDescent="0.2">
      <c r="A212" s="241"/>
    </row>
    <row r="213" spans="1:1" x14ac:dyDescent="0.2">
      <c r="A213" s="241"/>
    </row>
    <row r="214" spans="1:1" x14ac:dyDescent="0.2">
      <c r="A214" s="241"/>
    </row>
    <row r="215" spans="1:1" x14ac:dyDescent="0.2">
      <c r="A215" s="241"/>
    </row>
    <row r="216" spans="1:1" x14ac:dyDescent="0.2">
      <c r="A216" s="241"/>
    </row>
    <row r="217" spans="1:1" x14ac:dyDescent="0.2">
      <c r="A217" s="241"/>
    </row>
    <row r="218" spans="1:1" x14ac:dyDescent="0.2">
      <c r="A218" s="241"/>
    </row>
    <row r="219" spans="1:1" x14ac:dyDescent="0.2">
      <c r="A219" s="241"/>
    </row>
    <row r="220" spans="1:1" x14ac:dyDescent="0.2">
      <c r="A220" s="241"/>
    </row>
    <row r="221" spans="1:1" x14ac:dyDescent="0.2">
      <c r="A221" s="241"/>
    </row>
    <row r="222" spans="1:1" x14ac:dyDescent="0.2">
      <c r="A222" s="241"/>
    </row>
    <row r="223" spans="1:1" x14ac:dyDescent="0.2">
      <c r="A223" s="241"/>
    </row>
    <row r="224" spans="1:1" x14ac:dyDescent="0.2">
      <c r="A224" s="241"/>
    </row>
    <row r="225" spans="1:1" x14ac:dyDescent="0.2">
      <c r="A225" s="241"/>
    </row>
    <row r="226" spans="1:1" x14ac:dyDescent="0.2">
      <c r="A226" s="241"/>
    </row>
    <row r="227" spans="1:1" x14ac:dyDescent="0.2">
      <c r="A227" s="241"/>
    </row>
    <row r="228" spans="1:1" x14ac:dyDescent="0.2">
      <c r="A228" s="241"/>
    </row>
    <row r="229" spans="1:1" x14ac:dyDescent="0.2">
      <c r="A229" s="241"/>
    </row>
    <row r="230" spans="1:1" x14ac:dyDescent="0.2">
      <c r="A230" s="241"/>
    </row>
    <row r="231" spans="1:1" x14ac:dyDescent="0.2">
      <c r="A231" s="241"/>
    </row>
    <row r="232" spans="1:1" x14ac:dyDescent="0.2">
      <c r="A232" s="241"/>
    </row>
    <row r="233" spans="1:1" x14ac:dyDescent="0.2">
      <c r="A233" s="241"/>
    </row>
    <row r="234" spans="1:1" x14ac:dyDescent="0.2">
      <c r="A234" s="241"/>
    </row>
    <row r="235" spans="1:1" x14ac:dyDescent="0.2">
      <c r="A235" s="241"/>
    </row>
    <row r="236" spans="1:1" x14ac:dyDescent="0.2">
      <c r="A236" s="241"/>
    </row>
    <row r="237" spans="1:1" x14ac:dyDescent="0.2">
      <c r="A237" s="241"/>
    </row>
    <row r="238" spans="1:1" x14ac:dyDescent="0.2">
      <c r="A238" s="241"/>
    </row>
    <row r="239" spans="1:1" x14ac:dyDescent="0.2">
      <c r="A239" s="241"/>
    </row>
    <row r="240" spans="1:1" x14ac:dyDescent="0.2">
      <c r="A240" s="241"/>
    </row>
    <row r="241" spans="1:1" x14ac:dyDescent="0.2">
      <c r="A241" s="241"/>
    </row>
  </sheetData>
  <sheetProtection formatCells="0" formatColumns="0" formatRows="0" insertColumns="0" insertRows="0" insertHyperlinks="0" deleteColumns="0" deleteRows="0" selectLockedCells="1" sort="0" autoFilter="0" pivotTables="0"/>
  <autoFilter ref="AE4:AM203"/>
  <mergeCells count="5">
    <mergeCell ref="H4:I4"/>
    <mergeCell ref="H5:I5"/>
    <mergeCell ref="H1:I1"/>
    <mergeCell ref="H2:I2"/>
    <mergeCell ref="H3:I3"/>
  </mergeCells>
  <pageMargins left="0.3" right="0.3" top="0.80208333333333337" bottom="0.3" header="0.3" footer="0.3"/>
  <pageSetup paperSize="9" orientation="landscape" horizontalDpi="1200" verticalDpi="1200" r:id="rId2"/>
  <headerFooter>
    <oddHeader>&amp;L&amp;"-,Bold"CII
BOM-MTO Pricing&amp;C&amp;"-,Bold"&amp;K000000Air Rotary Filter&amp;R&amp;"-,Bold"Date: 1400.08.11
Rev: 00</oddHeader>
  </headerFooter>
  <extLst>
    <ext xmlns:x14="http://schemas.microsoft.com/office/spreadsheetml/2009/9/main" uri="{CCE6A557-97BC-4b89-ADB6-D9C93CAAB3DF}">
      <x14:dataValidations xmlns:xm="http://schemas.microsoft.com/office/excel/2006/main" disablePrompts="1" count="2">
        <x14:dataValidation type="list" operator="lessThan" allowBlank="1" showInputMessage="1" showErrorMessage="1">
          <x14:formula1>
            <xm:f>Sheet1!$A$1:$A$4</xm:f>
          </x14:formula1>
          <xm:sqref>E1</xm:sqref>
        </x14:dataValidation>
        <x14:dataValidation type="list" operator="lessThan" allowBlank="1" showInputMessage="1" showErrorMessage="1">
          <x14:formula1>
            <xm:f>Sheet1!$B$1:$B$2</xm:f>
          </x14:formula1>
          <xm:sqref>E2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B4"/>
  <sheetViews>
    <sheetView workbookViewId="0">
      <selection activeCell="A5" sqref="A5"/>
    </sheetView>
  </sheetViews>
  <sheetFormatPr defaultRowHeight="15" x14ac:dyDescent="0.25"/>
  <sheetData>
    <row r="1" spans="1:2" x14ac:dyDescent="0.25">
      <c r="A1">
        <v>1500</v>
      </c>
      <c r="B1">
        <v>3400</v>
      </c>
    </row>
    <row r="2" spans="1:2" x14ac:dyDescent="0.25">
      <c r="A2">
        <v>2000</v>
      </c>
      <c r="B2">
        <v>5100</v>
      </c>
    </row>
    <row r="3" spans="1:2" x14ac:dyDescent="0.25">
      <c r="A3">
        <v>2500</v>
      </c>
    </row>
    <row r="4" spans="1:2" x14ac:dyDescent="0.25">
      <c r="A4">
        <v>3000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BOM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2021-11-09T08:27:22Z</dcterms:modified>
</cp:coreProperties>
</file>