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412E1C70-19D6-4F1C-B406-E78302B901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OM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7" i="3" l="1"/>
  <c r="L35" i="3"/>
  <c r="I16" i="3" l="1"/>
  <c r="K16" i="3" s="1"/>
  <c r="D6" i="3"/>
  <c r="I18" i="3"/>
  <c r="I15" i="3"/>
  <c r="H26" i="3" l="1"/>
  <c r="H27" i="3" s="1"/>
  <c r="I22" i="3"/>
  <c r="H18" i="3"/>
  <c r="K18" i="3" s="1"/>
  <c r="H15" i="3"/>
  <c r="K15" i="3" s="1"/>
  <c r="H14" i="3" l="1"/>
  <c r="D7" i="3"/>
  <c r="I26" i="3" l="1"/>
  <c r="K26" i="3" s="1"/>
  <c r="D9" i="3"/>
  <c r="J14" i="3"/>
  <c r="K14" i="3"/>
  <c r="D8" i="3"/>
  <c r="I23" i="3"/>
  <c r="J37" i="3"/>
  <c r="L37" i="3" s="1"/>
  <c r="J16" i="3"/>
  <c r="L16" i="3" s="1"/>
  <c r="I24" i="3" l="1"/>
  <c r="I25" i="3"/>
  <c r="L14" i="3"/>
  <c r="D11" i="3"/>
  <c r="D10" i="3"/>
  <c r="G17" i="3"/>
  <c r="E9" i="3"/>
  <c r="J18" i="3"/>
  <c r="L18" i="3" s="1"/>
  <c r="H36" i="3"/>
  <c r="I42" i="3" s="1"/>
  <c r="J15" i="3"/>
  <c r="L15" i="3" s="1"/>
  <c r="I35" i="3"/>
  <c r="I28" i="3" s="1"/>
  <c r="H28" i="3"/>
  <c r="F17" i="3" l="1"/>
  <c r="H17" i="3"/>
  <c r="J28" i="3"/>
  <c r="K28" i="3"/>
  <c r="I43" i="3"/>
  <c r="I44" i="3" s="1"/>
  <c r="K36" i="3"/>
  <c r="I29" i="3"/>
  <c r="I30" i="3" s="1"/>
  <c r="I31" i="3" s="1"/>
  <c r="J26" i="3"/>
  <c r="L26" i="3" s="1"/>
  <c r="J36" i="3"/>
  <c r="I27" i="3"/>
  <c r="I38" i="3" s="1"/>
  <c r="I39" i="3" s="1"/>
  <c r="I40" i="3" s="1"/>
  <c r="I41" i="3" s="1"/>
  <c r="L28" i="3" l="1"/>
  <c r="I19" i="3"/>
  <c r="I20" i="3" s="1"/>
  <c r="I21" i="3" s="1"/>
  <c r="I17" i="3"/>
  <c r="K17" i="3" s="1"/>
  <c r="L36" i="3"/>
  <c r="I32" i="3"/>
  <c r="I33" i="3" s="1"/>
  <c r="I34" i="3" s="1"/>
  <c r="J17" i="3" l="1"/>
  <c r="L17" i="3" s="1"/>
</calcChain>
</file>

<file path=xl/sharedStrings.xml><?xml version="1.0" encoding="utf-8"?>
<sst xmlns="http://schemas.openxmlformats.org/spreadsheetml/2006/main" count="263" uniqueCount="89">
  <si>
    <t>Pos.</t>
  </si>
  <si>
    <t>Blade</t>
  </si>
  <si>
    <t>Part</t>
  </si>
  <si>
    <t>-</t>
  </si>
  <si>
    <t>Plate</t>
  </si>
  <si>
    <t>H.D.G</t>
  </si>
  <si>
    <t>H Frame</t>
  </si>
  <si>
    <t>Linkage</t>
  </si>
  <si>
    <t>Arm</t>
  </si>
  <si>
    <t>Silicone seal</t>
  </si>
  <si>
    <t>M12</t>
  </si>
  <si>
    <t>M6</t>
  </si>
  <si>
    <t>Blade pipe</t>
  </si>
  <si>
    <t>V Frame</t>
  </si>
  <si>
    <t>End Plate</t>
  </si>
  <si>
    <t>V - Air seal</t>
  </si>
  <si>
    <t>H - Air seal</t>
  </si>
  <si>
    <t>Link</t>
  </si>
  <si>
    <t>linkage Bolt</t>
  </si>
  <si>
    <t>linkage Nut</t>
  </si>
  <si>
    <t>Bearing Bolt</t>
  </si>
  <si>
    <t>Bearing Nut</t>
  </si>
  <si>
    <t>Blade Bolt 1</t>
  </si>
  <si>
    <t>Blade Nut 1</t>
  </si>
  <si>
    <t>Blade Bolt 2</t>
  </si>
  <si>
    <t>Blade Nut 2</t>
  </si>
  <si>
    <t>Frame Bolt</t>
  </si>
  <si>
    <t>Frame Nut</t>
  </si>
  <si>
    <t>M6x15</t>
  </si>
  <si>
    <t>mm</t>
  </si>
  <si>
    <t>H - Air seal Bolt</t>
  </si>
  <si>
    <t>H - Air seal Nut</t>
  </si>
  <si>
    <t>P Type</t>
  </si>
  <si>
    <t>UCFL 204</t>
  </si>
  <si>
    <t xml:space="preserve">Pipe </t>
  </si>
  <si>
    <t>1/2"</t>
  </si>
  <si>
    <t>Blade Count</t>
  </si>
  <si>
    <t>pcs</t>
  </si>
  <si>
    <t xml:space="preserve">The Length Between Blade &amp; Frame </t>
  </si>
  <si>
    <t>Air Seal Size</t>
  </si>
  <si>
    <t>Clearance</t>
  </si>
  <si>
    <t>A-53</t>
  </si>
  <si>
    <t>SP</t>
  </si>
  <si>
    <t>Frame</t>
  </si>
  <si>
    <t>Silicone Strip</t>
  </si>
  <si>
    <t>Hex Bolt</t>
  </si>
  <si>
    <t>Hex Nut</t>
  </si>
  <si>
    <t xml:space="preserve">Bearing </t>
  </si>
  <si>
    <t>Electroplated</t>
  </si>
  <si>
    <t>Drive</t>
  </si>
  <si>
    <t xml:space="preserve">Mat </t>
  </si>
  <si>
    <t>S1</t>
  </si>
  <si>
    <t>S2</t>
  </si>
  <si>
    <t>S3</t>
  </si>
  <si>
    <t>S4</t>
  </si>
  <si>
    <t>Opening Width</t>
  </si>
  <si>
    <t>Opening Height</t>
  </si>
  <si>
    <t>QP</t>
  </si>
  <si>
    <t xml:space="preserve">N.W </t>
  </si>
  <si>
    <t>G.W</t>
  </si>
  <si>
    <t>M10</t>
  </si>
  <si>
    <t>Bearing Spring Washer</t>
  </si>
  <si>
    <t>Spring Washer</t>
  </si>
  <si>
    <t>SC</t>
  </si>
  <si>
    <t>Rectangular Fire Damper, Frame 160, Bearing Drive</t>
  </si>
  <si>
    <t>Din 933</t>
  </si>
  <si>
    <t>Din 934</t>
  </si>
  <si>
    <t>Din 127</t>
  </si>
  <si>
    <t>Frame Opening Height</t>
  </si>
  <si>
    <t>Blade &amp; Air Seal Overlap Length</t>
  </si>
  <si>
    <t>H - Air seal Washer Spring</t>
  </si>
  <si>
    <t>Washer Spring</t>
  </si>
  <si>
    <t>Frame Washer</t>
  </si>
  <si>
    <t>Din 125</t>
  </si>
  <si>
    <t>Frame Spring Washer</t>
  </si>
  <si>
    <t>M6x45</t>
  </si>
  <si>
    <t>Blade Washer 1</t>
  </si>
  <si>
    <t>Blade Washer 2</t>
  </si>
  <si>
    <t>M12x30</t>
  </si>
  <si>
    <t>M6x20</t>
  </si>
  <si>
    <t>linkage Washer</t>
  </si>
  <si>
    <t>Din125</t>
  </si>
  <si>
    <t>F</t>
  </si>
  <si>
    <t>A6</t>
  </si>
  <si>
    <t>A10</t>
  </si>
  <si>
    <t>S</t>
  </si>
  <si>
    <t>Flat Washer</t>
  </si>
  <si>
    <t>A12</t>
  </si>
  <si>
    <t>M10x25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</si>
</sst>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horizontal="center" vertical="center"/>
      <protection locked="0"/>
    </xf>
    <xf numFmtId="0" fontId="3" fillId="6" borderId="1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2" fontId="2" fillId="2" borderId="11" xfId="0" applyNumberFormat="1" applyFont="1" applyFill="1" applyBorder="1" applyAlignment="1" applyProtection="1">
      <alignment horizontal="center" vertical="center"/>
      <protection locked="0"/>
    </xf>
    <xf numFmtId="9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2" fontId="2" fillId="2" borderId="1" xfId="0" applyNumberFormat="1" applyFont="1" applyFill="1" applyBorder="1" applyAlignment="1" applyProtection="1">
      <alignment horizontal="center" vertical="center"/>
      <protection locked="0"/>
    </xf>
    <xf numFmtId="9" fontId="2" fillId="2" borderId="14" xfId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2" fontId="2" fillId="5" borderId="11" xfId="0" applyNumberFormat="1" applyFont="1" applyFill="1" applyBorder="1" applyAlignment="1" applyProtection="1">
      <alignment horizontal="center" vertical="center"/>
      <protection locked="0"/>
    </xf>
    <xf numFmtId="2" fontId="4" fillId="5" borderId="11" xfId="0" applyNumberFormat="1" applyFont="1" applyFill="1" applyBorder="1" applyAlignment="1" applyProtection="1">
      <alignment horizontal="center" vertical="center"/>
      <protection locked="0"/>
    </xf>
    <xf numFmtId="9" fontId="2" fillId="5" borderId="12" xfId="1" applyFont="1" applyFill="1" applyBorder="1" applyAlignment="1" applyProtection="1">
      <alignment horizontal="center" vertical="center"/>
      <protection locked="0"/>
    </xf>
    <xf numFmtId="0" fontId="2" fillId="5" borderId="13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Border="1" applyAlignment="1" applyProtection="1">
      <alignment horizontal="center" vertical="center"/>
      <protection locked="0"/>
    </xf>
    <xf numFmtId="2" fontId="2" fillId="5" borderId="1" xfId="0" applyNumberFormat="1" applyFont="1" applyFill="1" applyBorder="1" applyAlignment="1" applyProtection="1">
      <alignment horizontal="center" vertical="center"/>
      <protection locked="0"/>
    </xf>
    <xf numFmtId="9" fontId="2" fillId="5" borderId="14" xfId="1" applyFont="1" applyFill="1" applyBorder="1" applyAlignment="1" applyProtection="1">
      <alignment horizontal="center" vertical="center"/>
      <protection locked="0"/>
    </xf>
    <xf numFmtId="2" fontId="4" fillId="5" borderId="1" xfId="0" applyNumberFormat="1" applyFont="1" applyFill="1" applyBorder="1" applyAlignment="1" applyProtection="1">
      <alignment horizontal="center" vertical="center"/>
      <protection locked="0"/>
    </xf>
    <xf numFmtId="0" fontId="2" fillId="5" borderId="14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2" fontId="2" fillId="3" borderId="1" xfId="0" applyNumberFormat="1" applyFont="1" applyFill="1" applyBorder="1" applyAlignment="1" applyProtection="1">
      <alignment horizontal="center" vertical="center"/>
      <protection locked="0"/>
    </xf>
    <xf numFmtId="2" fontId="4" fillId="3" borderId="1" xfId="0" applyNumberFormat="1" applyFont="1" applyFill="1" applyBorder="1" applyAlignment="1" applyProtection="1">
      <alignment horizontal="center" vertical="center"/>
      <protection locked="0"/>
    </xf>
    <xf numFmtId="9" fontId="2" fillId="3" borderId="14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2" fontId="2" fillId="3" borderId="14" xfId="0" applyNumberFormat="1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2" fontId="2" fillId="3" borderId="11" xfId="0" applyNumberFormat="1" applyFont="1" applyFill="1" applyBorder="1" applyAlignment="1" applyProtection="1">
      <alignment horizontal="center" vertical="center"/>
      <protection locked="0"/>
    </xf>
    <xf numFmtId="9" fontId="2" fillId="3" borderId="12" xfId="1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" fontId="2" fillId="3" borderId="2" xfId="0" applyNumberFormat="1" applyFont="1" applyFill="1" applyBorder="1" applyAlignment="1" applyProtection="1">
      <alignment horizontal="center"/>
    </xf>
    <xf numFmtId="2" fontId="2" fillId="3" borderId="2" xfId="0" applyNumberFormat="1" applyFont="1" applyFill="1" applyBorder="1" applyAlignment="1" applyProtection="1">
      <alignment horizontal="center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/>
    </xf>
    <xf numFmtId="2" fontId="2" fillId="3" borderId="3" xfId="0" applyNumberFormat="1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2" fontId="2" fillId="2" borderId="20" xfId="0" applyNumberFormat="1" applyFont="1" applyFill="1" applyBorder="1" applyAlignment="1" applyProtection="1">
      <alignment horizontal="center" vertical="center"/>
      <protection locked="0"/>
    </xf>
    <xf numFmtId="9" fontId="2" fillId="2" borderId="22" xfId="1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5" borderId="20" xfId="0" applyFont="1" applyFill="1" applyBorder="1" applyAlignment="1" applyProtection="1">
      <alignment horizontal="center" vertical="center"/>
      <protection locked="0"/>
    </xf>
    <xf numFmtId="0" fontId="2" fillId="5" borderId="22" xfId="0" applyFont="1" applyFill="1" applyBorder="1" applyAlignment="1" applyProtection="1">
      <alignment horizontal="center" vertical="center"/>
      <protection locked="0"/>
    </xf>
    <xf numFmtId="0" fontId="2" fillId="3" borderId="23" xfId="0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 applyProtection="1">
      <alignment horizontal="center" vertical="center"/>
      <protection locked="0"/>
    </xf>
    <xf numFmtId="0" fontId="2" fillId="4" borderId="8" xfId="0" applyFont="1" applyFill="1" applyBorder="1" applyAlignment="1" applyProtection="1">
      <alignment horizontal="center"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2" fillId="7" borderId="23" xfId="0" applyFont="1" applyFill="1" applyBorder="1" applyAlignment="1" applyProtection="1">
      <alignment horizontal="center" vertical="center"/>
      <protection locked="0"/>
    </xf>
    <xf numFmtId="0" fontId="2" fillId="7" borderId="16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showWhiteSpace="0" view="pageLayout" topLeftCell="A13" zoomScale="115" zoomScaleNormal="100" zoomScalePageLayoutView="115" workbookViewId="0">
      <selection activeCell="F24" sqref="F24"/>
    </sheetView>
  </sheetViews>
  <sheetFormatPr defaultColWidth="9" defaultRowHeight="12" x14ac:dyDescent="0.25"/>
  <cols>
    <col min="1" max="1" width="4" style="1" bestFit="1" customWidth="1"/>
    <col min="2" max="2" width="5.33203125" style="1" bestFit="1" customWidth="1"/>
    <col min="3" max="3" width="27.33203125" style="1" customWidth="1"/>
    <col min="4" max="4" width="12.44140625" style="1" customWidth="1"/>
    <col min="5" max="5" width="9" style="1" customWidth="1"/>
    <col min="6" max="6" width="8.44140625" style="1" customWidth="1"/>
    <col min="7" max="7" width="10.6640625" style="1" customWidth="1"/>
    <col min="8" max="8" width="9.109375" style="1" customWidth="1"/>
    <col min="9" max="9" width="8" style="1" customWidth="1"/>
    <col min="10" max="10" width="7.88671875" style="1" customWidth="1"/>
    <col min="11" max="11" width="7.6640625" style="1" customWidth="1"/>
    <col min="12" max="12" width="8.109375" style="1" customWidth="1"/>
    <col min="13" max="16" width="9" style="1"/>
    <col min="17" max="17" width="41.88671875" style="1" bestFit="1" customWidth="1"/>
    <col min="18" max="18" width="14.6640625" style="1" bestFit="1" customWidth="1"/>
    <col min="19" max="19" width="5.33203125" style="1" bestFit="1" customWidth="1"/>
    <col min="20" max="16384" width="9" style="1"/>
  </cols>
  <sheetData>
    <row r="1" spans="1:14" ht="15" customHeight="1" thickBot="1" x14ac:dyDescent="0.3">
      <c r="A1" s="2"/>
      <c r="B1" s="2"/>
      <c r="C1" s="63" t="s">
        <v>64</v>
      </c>
      <c r="D1" s="64"/>
      <c r="E1" s="65"/>
      <c r="F1" s="3"/>
      <c r="G1" s="3"/>
      <c r="H1" s="3"/>
      <c r="I1" s="3"/>
      <c r="J1" s="2"/>
      <c r="K1" s="2"/>
      <c r="L1" s="2"/>
      <c r="M1" s="2"/>
      <c r="N1" s="2"/>
    </row>
    <row r="2" spans="1:14" ht="12.6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2.6" thickBot="1" x14ac:dyDescent="0.3">
      <c r="A3" s="2"/>
      <c r="B3" s="2"/>
      <c r="C3" s="44" t="s">
        <v>55</v>
      </c>
      <c r="D3" s="4">
        <v>1500</v>
      </c>
      <c r="E3" s="52" t="s">
        <v>29</v>
      </c>
      <c r="F3" s="2"/>
      <c r="G3" s="2"/>
      <c r="H3" s="2"/>
      <c r="I3" s="2"/>
      <c r="J3" s="2"/>
      <c r="K3" s="2"/>
      <c r="L3" s="2"/>
      <c r="M3" s="2"/>
      <c r="N3" s="2"/>
    </row>
    <row r="4" spans="1:14" ht="12.6" thickBot="1" x14ac:dyDescent="0.3">
      <c r="A4" s="2"/>
      <c r="B4" s="2"/>
      <c r="C4" s="44" t="s">
        <v>56</v>
      </c>
      <c r="D4" s="5">
        <v>2500</v>
      </c>
      <c r="E4" s="44" t="s">
        <v>29</v>
      </c>
      <c r="F4" s="2"/>
      <c r="G4" s="2"/>
      <c r="H4" s="2"/>
      <c r="I4" s="2"/>
      <c r="J4" s="2"/>
      <c r="K4" s="2"/>
      <c r="L4" s="2"/>
      <c r="M4" s="2"/>
      <c r="N4" s="2"/>
    </row>
    <row r="5" spans="1:14" ht="12.6" thickBot="1" x14ac:dyDescent="0.3">
      <c r="A5" s="2"/>
      <c r="B5" s="2"/>
      <c r="C5" s="62"/>
      <c r="D5" s="62"/>
      <c r="E5" s="62"/>
      <c r="F5" s="2"/>
      <c r="G5" s="2"/>
      <c r="H5" s="2"/>
      <c r="I5" s="2"/>
      <c r="J5" s="2"/>
      <c r="K5" s="2"/>
      <c r="L5" s="2"/>
      <c r="M5" s="2"/>
      <c r="N5" s="2"/>
    </row>
    <row r="6" spans="1:14" ht="12.6" thickBot="1" x14ac:dyDescent="0.3">
      <c r="A6" s="2"/>
      <c r="B6" s="2"/>
      <c r="C6" s="44" t="s">
        <v>68</v>
      </c>
      <c r="D6" s="45">
        <f>D4</f>
        <v>2500</v>
      </c>
      <c r="E6" s="46" t="s">
        <v>29</v>
      </c>
      <c r="F6" s="2"/>
      <c r="G6" s="2"/>
      <c r="H6" s="2"/>
      <c r="I6" s="2"/>
      <c r="J6" s="2"/>
      <c r="K6" s="2"/>
      <c r="L6" s="2"/>
      <c r="M6" s="2"/>
      <c r="N6" s="2"/>
    </row>
    <row r="7" spans="1:14" ht="12.6" thickBot="1" x14ac:dyDescent="0.3">
      <c r="A7" s="2"/>
      <c r="B7" s="2"/>
      <c r="C7" s="44" t="s">
        <v>36</v>
      </c>
      <c r="D7" s="47">
        <f>IF(((D6/135-INT(D6/135))*135)&lt;=10,INT(D6/135)-1,INT(D6/135))</f>
        <v>18</v>
      </c>
      <c r="E7" s="46" t="s">
        <v>37</v>
      </c>
      <c r="F7" s="2"/>
      <c r="G7" s="2"/>
      <c r="H7" s="2"/>
      <c r="I7" s="2"/>
      <c r="J7" s="2"/>
      <c r="K7" s="2"/>
      <c r="L7" s="2"/>
      <c r="M7" s="2"/>
      <c r="N7" s="2"/>
    </row>
    <row r="8" spans="1:14" ht="12.6" thickBot="1" x14ac:dyDescent="0.3">
      <c r="A8" s="2"/>
      <c r="B8" s="2"/>
      <c r="C8" s="44" t="s">
        <v>38</v>
      </c>
      <c r="D8" s="48">
        <f>(D6-((D7-1)*135)-145)/2</f>
        <v>30</v>
      </c>
      <c r="E8" s="46" t="s">
        <v>29</v>
      </c>
      <c r="F8" s="2"/>
      <c r="G8" s="2"/>
      <c r="H8" s="2"/>
      <c r="I8" s="2"/>
      <c r="J8" s="2"/>
      <c r="K8" s="2"/>
      <c r="L8" s="2"/>
      <c r="M8" s="2"/>
      <c r="N8" s="2"/>
    </row>
    <row r="9" spans="1:14" ht="12.6" thickBot="1" x14ac:dyDescent="0.3">
      <c r="A9" s="2"/>
      <c r="B9" s="2"/>
      <c r="C9" s="49" t="s">
        <v>39</v>
      </c>
      <c r="D9" s="50" t="str">
        <f>IF(((D6-((D7-1)*135)-145)/2)&gt;=50,"Angle 70x30",IF(((D6-((D7-1)*135)-145)/2)&gt;=30,"Angle 50x30",IF(((D6-((D7-1)*135)-145)/2)&gt;=15,"Angle 30x30","N/A")))</f>
        <v>Angle 50x30</v>
      </c>
      <c r="E9" s="46" t="str">
        <f>IF(D9="No Needed","-","mm")</f>
        <v>mm</v>
      </c>
      <c r="F9" s="2"/>
      <c r="G9" s="2"/>
      <c r="H9" s="2"/>
      <c r="I9" s="2"/>
      <c r="J9" s="2"/>
      <c r="K9" s="2"/>
      <c r="L9" s="2"/>
      <c r="M9" s="2"/>
      <c r="N9" s="2"/>
    </row>
    <row r="10" spans="1:14" ht="12.6" thickBot="1" x14ac:dyDescent="0.3">
      <c r="A10" s="2"/>
      <c r="B10" s="2"/>
      <c r="C10" s="49" t="s">
        <v>40</v>
      </c>
      <c r="D10" s="51">
        <f>IF(D9="N/A",D8,0)</f>
        <v>0</v>
      </c>
      <c r="E10" s="46" t="s">
        <v>29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ht="12.6" thickBot="1" x14ac:dyDescent="0.3">
      <c r="A11" s="2"/>
      <c r="B11" s="2"/>
      <c r="C11" s="49" t="s">
        <v>69</v>
      </c>
      <c r="D11" s="51">
        <f>IF(D9="Angle 70x30",70-D8,IF(D9="Angle 50x30",50-D8,IF(D9="N/A",0,30-D8)))</f>
        <v>20</v>
      </c>
      <c r="E11" s="46" t="s">
        <v>29</v>
      </c>
      <c r="F11" s="2"/>
      <c r="G11" s="2"/>
      <c r="H11" s="2"/>
      <c r="I11" s="2"/>
      <c r="J11" s="2"/>
      <c r="K11" s="2"/>
      <c r="L11" s="2"/>
      <c r="M11" s="2"/>
      <c r="N11" s="2"/>
    </row>
    <row r="12" spans="1:14" ht="12.6" thickBo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2.6" thickBot="1" x14ac:dyDescent="0.3">
      <c r="A13" s="6" t="s">
        <v>0</v>
      </c>
      <c r="B13" s="7" t="s">
        <v>42</v>
      </c>
      <c r="C13" s="7" t="s">
        <v>2</v>
      </c>
      <c r="D13" s="7" t="s">
        <v>50</v>
      </c>
      <c r="E13" s="7" t="s">
        <v>51</v>
      </c>
      <c r="F13" s="7" t="s">
        <v>52</v>
      </c>
      <c r="G13" s="7" t="s">
        <v>53</v>
      </c>
      <c r="H13" s="7" t="s">
        <v>54</v>
      </c>
      <c r="I13" s="7" t="s">
        <v>57</v>
      </c>
      <c r="J13" s="7" t="s">
        <v>58</v>
      </c>
      <c r="K13" s="7" t="s">
        <v>59</v>
      </c>
      <c r="L13" s="8" t="s">
        <v>63</v>
      </c>
      <c r="M13" s="2"/>
      <c r="N13" s="2"/>
    </row>
    <row r="14" spans="1:14" x14ac:dyDescent="0.25">
      <c r="A14" s="9">
        <v>1</v>
      </c>
      <c r="B14" s="10" t="s">
        <v>43</v>
      </c>
      <c r="C14" s="10" t="s">
        <v>13</v>
      </c>
      <c r="D14" s="10" t="s">
        <v>4</v>
      </c>
      <c r="E14" s="10" t="s">
        <v>5</v>
      </c>
      <c r="F14" s="10">
        <v>2</v>
      </c>
      <c r="G14" s="10">
        <v>308</v>
      </c>
      <c r="H14" s="10">
        <f>D4+110</f>
        <v>2610</v>
      </c>
      <c r="I14" s="10">
        <v>2</v>
      </c>
      <c r="J14" s="11">
        <f>I14*F14*G14*H14*7.85/1000000</f>
        <v>25.241831999999999</v>
      </c>
      <c r="K14" s="11">
        <f>((((1250-(INT(1250/G14)*G14))/(INT(1250/G14)))+G14)*F14*H14*I14*7.85)/1000000</f>
        <v>25.610624999999999</v>
      </c>
      <c r="L14" s="12">
        <f>(K14-J14)/J14</f>
        <v>1.4610389610389617E-2</v>
      </c>
      <c r="M14" s="2"/>
      <c r="N14" s="2"/>
    </row>
    <row r="15" spans="1:14" x14ac:dyDescent="0.25">
      <c r="A15" s="13">
        <v>2</v>
      </c>
      <c r="B15" s="14" t="s">
        <v>43</v>
      </c>
      <c r="C15" s="14" t="s">
        <v>6</v>
      </c>
      <c r="D15" s="14" t="s">
        <v>4</v>
      </c>
      <c r="E15" s="14" t="s">
        <v>5</v>
      </c>
      <c r="F15" s="14">
        <v>2</v>
      </c>
      <c r="G15" s="14">
        <v>308</v>
      </c>
      <c r="H15" s="14">
        <f>D3</f>
        <v>1500</v>
      </c>
      <c r="I15" s="14">
        <f>2</f>
        <v>2</v>
      </c>
      <c r="J15" s="15">
        <f>I15*F15*G15*H15*7.85/1000000</f>
        <v>14.5068</v>
      </c>
      <c r="K15" s="15">
        <f>((((1250-(INT(1250/G15)*G15))/(INT(1250/G15)))+G15)*F15*H15*I15*7.85)/1000000</f>
        <v>14.71875</v>
      </c>
      <c r="L15" s="16">
        <f>(K15-J15)/J15</f>
        <v>1.4610389610389601E-2</v>
      </c>
      <c r="M15" s="2"/>
      <c r="N15" s="2"/>
    </row>
    <row r="16" spans="1:14" x14ac:dyDescent="0.25">
      <c r="A16" s="13">
        <v>3</v>
      </c>
      <c r="B16" s="14" t="s">
        <v>43</v>
      </c>
      <c r="C16" s="14" t="s">
        <v>14</v>
      </c>
      <c r="D16" s="14" t="s">
        <v>4</v>
      </c>
      <c r="E16" s="14" t="s">
        <v>5</v>
      </c>
      <c r="F16" s="14">
        <v>3</v>
      </c>
      <c r="G16" s="14">
        <v>156</v>
      </c>
      <c r="H16" s="14">
        <v>56</v>
      </c>
      <c r="I16" s="14">
        <f>4</f>
        <v>4</v>
      </c>
      <c r="J16" s="15">
        <f>I16*F16*G16*H16*7.85/1000000</f>
        <v>0.82293119999999997</v>
      </c>
      <c r="K16" s="15">
        <f>((((1250-(INT(1250/G16)*G16))/(INT(1250/G16)))+G16)*F16*H16*I16*7.85)/1000000</f>
        <v>0.82425000000000004</v>
      </c>
      <c r="L16" s="16">
        <f>(K16-J16)/J16</f>
        <v>1.6025641025641808E-3</v>
      </c>
      <c r="M16" s="2"/>
      <c r="N16" s="2"/>
    </row>
    <row r="17" spans="1:14" x14ac:dyDescent="0.25">
      <c r="A17" s="13">
        <v>4</v>
      </c>
      <c r="B17" s="14" t="s">
        <v>43</v>
      </c>
      <c r="C17" s="17" t="s">
        <v>16</v>
      </c>
      <c r="D17" s="17" t="s">
        <v>4</v>
      </c>
      <c r="E17" s="14" t="s">
        <v>5</v>
      </c>
      <c r="F17" s="17">
        <f>IF(G17="N/A","N/A",1.5)</f>
        <v>1.5</v>
      </c>
      <c r="G17" s="17">
        <f>IF(BOM!D9="Angle 70x30",97,IF(BOM!D9="Angle 50x30",77,IF(BOM!D9="Angle 30x30",57,"N/A")))</f>
        <v>77</v>
      </c>
      <c r="H17" s="17">
        <f>IF(G17="N/A","N/A",D3-30)</f>
        <v>1470</v>
      </c>
      <c r="I17" s="17">
        <f>IF(H17="N/A",0,2)</f>
        <v>2</v>
      </c>
      <c r="J17" s="15">
        <f>IF(H17="N/A",0,I17*F17*G17*H17*7.85/1000000)</f>
        <v>2.6656244999999998</v>
      </c>
      <c r="K17" s="15">
        <f>IF(G17="N/A",0,((((1250-(INT(1250/G17)*G17))/(INT(1250/G17)))+G17)*F17*H17*I17*7.85)/1000000)</f>
        <v>2.7045703125</v>
      </c>
      <c r="L17" s="16">
        <f>IF(G17="N/A",0,(K17-J17)/J17)</f>
        <v>1.4610389610389678E-2</v>
      </c>
      <c r="M17" s="2"/>
      <c r="N17" s="2"/>
    </row>
    <row r="18" spans="1:14" x14ac:dyDescent="0.25">
      <c r="A18" s="13">
        <v>5</v>
      </c>
      <c r="B18" s="14" t="s">
        <v>43</v>
      </c>
      <c r="C18" s="17" t="s">
        <v>15</v>
      </c>
      <c r="D18" s="17" t="s">
        <v>4</v>
      </c>
      <c r="E18" s="14" t="s">
        <v>5</v>
      </c>
      <c r="F18" s="17">
        <v>0.5</v>
      </c>
      <c r="G18" s="17">
        <v>156</v>
      </c>
      <c r="H18" s="17">
        <f>D4</f>
        <v>2500</v>
      </c>
      <c r="I18" s="17">
        <f>2</f>
        <v>2</v>
      </c>
      <c r="J18" s="15">
        <f>I18*F18*G18*H18*7.85/1000000</f>
        <v>3.0615000000000001</v>
      </c>
      <c r="K18" s="15">
        <f>((((1250-(INT(1250/G18)*G18))/(INT(1250/G18)))+G18)*F18*H18*I18*7.85)/1000000</f>
        <v>3.06640625</v>
      </c>
      <c r="L18" s="16">
        <f>(K18-J18)/J18</f>
        <v>1.6025641025640665E-3</v>
      </c>
      <c r="M18" s="2"/>
      <c r="N18" s="2"/>
    </row>
    <row r="19" spans="1:14" x14ac:dyDescent="0.25">
      <c r="A19" s="13">
        <v>6</v>
      </c>
      <c r="B19" s="14" t="s">
        <v>43</v>
      </c>
      <c r="C19" s="17" t="s">
        <v>30</v>
      </c>
      <c r="D19" s="17" t="s">
        <v>45</v>
      </c>
      <c r="E19" s="17" t="s">
        <v>28</v>
      </c>
      <c r="F19" s="14">
        <v>5.6</v>
      </c>
      <c r="G19" s="14" t="s">
        <v>48</v>
      </c>
      <c r="H19" s="14" t="s">
        <v>65</v>
      </c>
      <c r="I19" s="17">
        <f>IF(H17="N/A",0,(INT(H17/200)+1)*2)</f>
        <v>16</v>
      </c>
      <c r="J19" s="14" t="s">
        <v>3</v>
      </c>
      <c r="K19" s="15" t="s">
        <v>3</v>
      </c>
      <c r="L19" s="16" t="s">
        <v>3</v>
      </c>
      <c r="M19" s="2"/>
      <c r="N19" s="2"/>
    </row>
    <row r="20" spans="1:14" x14ac:dyDescent="0.25">
      <c r="A20" s="13">
        <v>7</v>
      </c>
      <c r="B20" s="14" t="s">
        <v>43</v>
      </c>
      <c r="C20" s="17" t="s">
        <v>31</v>
      </c>
      <c r="D20" s="17" t="s">
        <v>46</v>
      </c>
      <c r="E20" s="17" t="s">
        <v>11</v>
      </c>
      <c r="F20" s="14">
        <v>5</v>
      </c>
      <c r="G20" s="14" t="s">
        <v>48</v>
      </c>
      <c r="H20" s="14" t="s">
        <v>66</v>
      </c>
      <c r="I20" s="17">
        <f>I19</f>
        <v>16</v>
      </c>
      <c r="J20" s="14" t="s">
        <v>3</v>
      </c>
      <c r="K20" s="15" t="s">
        <v>3</v>
      </c>
      <c r="L20" s="16" t="s">
        <v>3</v>
      </c>
      <c r="M20" s="2"/>
      <c r="N20" s="2"/>
    </row>
    <row r="21" spans="1:14" x14ac:dyDescent="0.25">
      <c r="A21" s="13">
        <v>8</v>
      </c>
      <c r="B21" s="14" t="s">
        <v>43</v>
      </c>
      <c r="C21" s="17" t="s">
        <v>70</v>
      </c>
      <c r="D21" s="17" t="s">
        <v>71</v>
      </c>
      <c r="E21" s="17" t="s">
        <v>83</v>
      </c>
      <c r="F21" s="14" t="s">
        <v>82</v>
      </c>
      <c r="G21" s="14" t="s">
        <v>48</v>
      </c>
      <c r="H21" s="14" t="s">
        <v>67</v>
      </c>
      <c r="I21" s="17">
        <f>I20</f>
        <v>16</v>
      </c>
      <c r="J21" s="14" t="s">
        <v>3</v>
      </c>
      <c r="K21" s="15" t="s">
        <v>3</v>
      </c>
      <c r="L21" s="16" t="s">
        <v>3</v>
      </c>
      <c r="M21" s="2"/>
      <c r="N21" s="2"/>
    </row>
    <row r="22" spans="1:14" x14ac:dyDescent="0.25">
      <c r="A22" s="13">
        <v>9</v>
      </c>
      <c r="B22" s="14" t="s">
        <v>43</v>
      </c>
      <c r="C22" s="14" t="s">
        <v>26</v>
      </c>
      <c r="D22" s="14" t="s">
        <v>45</v>
      </c>
      <c r="E22" s="14" t="s">
        <v>88</v>
      </c>
      <c r="F22" s="14">
        <v>5.6</v>
      </c>
      <c r="G22" s="14" t="s">
        <v>48</v>
      </c>
      <c r="H22" s="14" t="s">
        <v>65</v>
      </c>
      <c r="I22" s="14">
        <f>12</f>
        <v>12</v>
      </c>
      <c r="J22" s="14" t="s">
        <v>3</v>
      </c>
      <c r="K22" s="15" t="s">
        <v>3</v>
      </c>
      <c r="L22" s="16" t="s">
        <v>3</v>
      </c>
      <c r="M22" s="2"/>
      <c r="N22" s="2"/>
    </row>
    <row r="23" spans="1:14" x14ac:dyDescent="0.25">
      <c r="A23" s="13">
        <v>10</v>
      </c>
      <c r="B23" s="14" t="s">
        <v>43</v>
      </c>
      <c r="C23" s="14" t="s">
        <v>27</v>
      </c>
      <c r="D23" s="14" t="s">
        <v>46</v>
      </c>
      <c r="E23" s="14" t="s">
        <v>60</v>
      </c>
      <c r="F23" s="14">
        <v>5</v>
      </c>
      <c r="G23" s="14" t="s">
        <v>48</v>
      </c>
      <c r="H23" s="14" t="s">
        <v>66</v>
      </c>
      <c r="I23" s="14">
        <f>I22</f>
        <v>12</v>
      </c>
      <c r="J23" s="14" t="s">
        <v>3</v>
      </c>
      <c r="K23" s="15" t="s">
        <v>3</v>
      </c>
      <c r="L23" s="16" t="s">
        <v>3</v>
      </c>
      <c r="M23" s="2"/>
      <c r="N23" s="2"/>
    </row>
    <row r="24" spans="1:14" x14ac:dyDescent="0.25">
      <c r="A24" s="13">
        <v>11</v>
      </c>
      <c r="B24" s="14" t="s">
        <v>43</v>
      </c>
      <c r="C24" s="14" t="s">
        <v>74</v>
      </c>
      <c r="D24" s="14" t="s">
        <v>62</v>
      </c>
      <c r="E24" s="14" t="s">
        <v>84</v>
      </c>
      <c r="F24" s="14" t="s">
        <v>82</v>
      </c>
      <c r="G24" s="14" t="s">
        <v>48</v>
      </c>
      <c r="H24" s="14" t="s">
        <v>67</v>
      </c>
      <c r="I24" s="14">
        <f>I23</f>
        <v>12</v>
      </c>
      <c r="J24" s="14" t="s">
        <v>3</v>
      </c>
      <c r="K24" s="15" t="s">
        <v>3</v>
      </c>
      <c r="L24" s="16" t="s">
        <v>3</v>
      </c>
      <c r="M24" s="2"/>
      <c r="N24" s="2"/>
    </row>
    <row r="25" spans="1:14" ht="12.6" thickBot="1" x14ac:dyDescent="0.3">
      <c r="A25" s="13">
        <v>12</v>
      </c>
      <c r="B25" s="57" t="s">
        <v>43</v>
      </c>
      <c r="C25" s="57" t="s">
        <v>72</v>
      </c>
      <c r="D25" s="53" t="s">
        <v>86</v>
      </c>
      <c r="E25" s="57" t="s">
        <v>84</v>
      </c>
      <c r="F25" s="53" t="s">
        <v>85</v>
      </c>
      <c r="G25" s="54" t="s">
        <v>48</v>
      </c>
      <c r="H25" s="54" t="s">
        <v>73</v>
      </c>
      <c r="I25" s="53">
        <f>2*I23</f>
        <v>24</v>
      </c>
      <c r="J25" s="53" t="s">
        <v>3</v>
      </c>
      <c r="K25" s="55" t="s">
        <v>3</v>
      </c>
      <c r="L25" s="56" t="s">
        <v>3</v>
      </c>
      <c r="M25" s="2"/>
      <c r="N25" s="2"/>
    </row>
    <row r="26" spans="1:14" x14ac:dyDescent="0.25">
      <c r="A26" s="18">
        <v>1</v>
      </c>
      <c r="B26" s="19" t="s">
        <v>1</v>
      </c>
      <c r="C26" s="19" t="s">
        <v>1</v>
      </c>
      <c r="D26" s="19" t="s">
        <v>4</v>
      </c>
      <c r="E26" s="19" t="s">
        <v>5</v>
      </c>
      <c r="F26" s="19">
        <v>1</v>
      </c>
      <c r="G26" s="19">
        <v>136</v>
      </c>
      <c r="H26" s="19">
        <f>D3-30</f>
        <v>1470</v>
      </c>
      <c r="I26" s="19">
        <f>2*BOM!D7</f>
        <v>36</v>
      </c>
      <c r="J26" s="20">
        <f>I26*F26*G26*H26*7.85/1000000</f>
        <v>56.497391999999998</v>
      </c>
      <c r="K26" s="21">
        <f t="shared" ref="K26" si="0">((((1250-(INT(1250/G26)*G26))/(INT(1250/G26)))+G26)*F26*H26*I26*7.85)/1000000</f>
        <v>57.697499999999998</v>
      </c>
      <c r="L26" s="22">
        <f t="shared" ref="L26:L28" si="1">(K26-J26)/J26</f>
        <v>2.1241830065359481E-2</v>
      </c>
      <c r="M26" s="2"/>
      <c r="N26" s="2"/>
    </row>
    <row r="27" spans="1:14" x14ac:dyDescent="0.25">
      <c r="A27" s="23">
        <v>2</v>
      </c>
      <c r="B27" s="24" t="s">
        <v>1</v>
      </c>
      <c r="C27" s="24" t="s">
        <v>9</v>
      </c>
      <c r="D27" s="24" t="s">
        <v>44</v>
      </c>
      <c r="E27" s="24" t="s">
        <v>32</v>
      </c>
      <c r="F27" s="24" t="s">
        <v>3</v>
      </c>
      <c r="G27" s="25" t="s">
        <v>3</v>
      </c>
      <c r="H27" s="24">
        <f>H26</f>
        <v>1470</v>
      </c>
      <c r="I27" s="24">
        <f>I35</f>
        <v>18</v>
      </c>
      <c r="J27" s="26" t="s">
        <v>3</v>
      </c>
      <c r="K27" s="26" t="s">
        <v>3</v>
      </c>
      <c r="L27" s="27" t="s">
        <v>3</v>
      </c>
      <c r="M27" s="2"/>
      <c r="N27" s="2"/>
    </row>
    <row r="28" spans="1:14" x14ac:dyDescent="0.25">
      <c r="A28" s="23">
        <v>3</v>
      </c>
      <c r="B28" s="24" t="s">
        <v>1</v>
      </c>
      <c r="C28" s="24" t="s">
        <v>12</v>
      </c>
      <c r="D28" s="24" t="s">
        <v>34</v>
      </c>
      <c r="E28" s="66" t="s">
        <v>41</v>
      </c>
      <c r="F28" s="24" t="s">
        <v>35</v>
      </c>
      <c r="G28" s="24">
        <v>30</v>
      </c>
      <c r="H28" s="24">
        <f>H26+118</f>
        <v>1588</v>
      </c>
      <c r="I28" s="24">
        <f>I35</f>
        <v>18</v>
      </c>
      <c r="J28" s="26">
        <f>H28*1.2*I28/1000</f>
        <v>34.300799999999995</v>
      </c>
      <c r="K28" s="28">
        <f>((((6000-(INT(6000/H28)*H28))/(INT(6000/H28)))+H28)*1.2*I28/1000)</f>
        <v>43.2</v>
      </c>
      <c r="L28" s="27">
        <f t="shared" si="1"/>
        <v>0.25944584382871561</v>
      </c>
      <c r="M28" s="2"/>
      <c r="N28" s="2"/>
    </row>
    <row r="29" spans="1:14" x14ac:dyDescent="0.25">
      <c r="A29" s="23">
        <v>4</v>
      </c>
      <c r="B29" s="24" t="s">
        <v>1</v>
      </c>
      <c r="C29" s="24" t="s">
        <v>22</v>
      </c>
      <c r="D29" s="24" t="s">
        <v>45</v>
      </c>
      <c r="E29" s="24" t="s">
        <v>75</v>
      </c>
      <c r="F29" s="24">
        <v>5.6</v>
      </c>
      <c r="G29" s="24" t="s">
        <v>48</v>
      </c>
      <c r="H29" s="24" t="s">
        <v>65</v>
      </c>
      <c r="I29" s="24">
        <f>(INT((H26/168))+1)*I28</f>
        <v>162</v>
      </c>
      <c r="J29" s="24" t="s">
        <v>3</v>
      </c>
      <c r="K29" s="24" t="s">
        <v>3</v>
      </c>
      <c r="L29" s="29" t="s">
        <v>3</v>
      </c>
      <c r="M29" s="2"/>
      <c r="N29" s="2"/>
    </row>
    <row r="30" spans="1:14" x14ac:dyDescent="0.25">
      <c r="A30" s="23">
        <v>5</v>
      </c>
      <c r="B30" s="24" t="s">
        <v>1</v>
      </c>
      <c r="C30" s="24" t="s">
        <v>23</v>
      </c>
      <c r="D30" s="24" t="s">
        <v>46</v>
      </c>
      <c r="E30" s="24" t="s">
        <v>11</v>
      </c>
      <c r="F30" s="24">
        <v>5</v>
      </c>
      <c r="G30" s="24" t="s">
        <v>48</v>
      </c>
      <c r="H30" s="24" t="s">
        <v>66</v>
      </c>
      <c r="I30" s="24">
        <f>I29</f>
        <v>162</v>
      </c>
      <c r="J30" s="24" t="s">
        <v>3</v>
      </c>
      <c r="K30" s="24" t="s">
        <v>3</v>
      </c>
      <c r="L30" s="29" t="s">
        <v>3</v>
      </c>
      <c r="M30" s="2"/>
      <c r="N30" s="2"/>
    </row>
    <row r="31" spans="1:14" x14ac:dyDescent="0.25">
      <c r="A31" s="23">
        <v>6</v>
      </c>
      <c r="B31" s="24" t="s">
        <v>1</v>
      </c>
      <c r="C31" s="24" t="s">
        <v>76</v>
      </c>
      <c r="D31" s="24" t="s">
        <v>86</v>
      </c>
      <c r="E31" s="24" t="s">
        <v>83</v>
      </c>
      <c r="F31" s="24" t="s">
        <v>85</v>
      </c>
      <c r="G31" s="24" t="s">
        <v>48</v>
      </c>
      <c r="H31" s="24" t="s">
        <v>73</v>
      </c>
      <c r="I31" s="24">
        <f>2*I30</f>
        <v>324</v>
      </c>
      <c r="J31" s="24" t="s">
        <v>3</v>
      </c>
      <c r="K31" s="24" t="s">
        <v>3</v>
      </c>
      <c r="L31" s="29" t="s">
        <v>3</v>
      </c>
      <c r="M31" s="2"/>
      <c r="N31" s="2"/>
    </row>
    <row r="32" spans="1:14" x14ac:dyDescent="0.25">
      <c r="A32" s="23">
        <v>7</v>
      </c>
      <c r="B32" s="24" t="s">
        <v>1</v>
      </c>
      <c r="C32" s="24" t="s">
        <v>24</v>
      </c>
      <c r="D32" s="24" t="s">
        <v>45</v>
      </c>
      <c r="E32" s="24" t="s">
        <v>28</v>
      </c>
      <c r="F32" s="24">
        <v>5.6</v>
      </c>
      <c r="G32" s="24" t="s">
        <v>48</v>
      </c>
      <c r="H32" s="24" t="s">
        <v>65</v>
      </c>
      <c r="I32" s="24">
        <f>((INT(H26/95.5)+1)*I28*2)</f>
        <v>576</v>
      </c>
      <c r="J32" s="24" t="s">
        <v>3</v>
      </c>
      <c r="K32" s="24" t="s">
        <v>3</v>
      </c>
      <c r="L32" s="29" t="s">
        <v>3</v>
      </c>
      <c r="M32" s="2"/>
      <c r="N32" s="2"/>
    </row>
    <row r="33" spans="1:14" x14ac:dyDescent="0.25">
      <c r="A33" s="23">
        <v>8</v>
      </c>
      <c r="B33" s="24" t="s">
        <v>1</v>
      </c>
      <c r="C33" s="24" t="s">
        <v>25</v>
      </c>
      <c r="D33" s="24" t="s">
        <v>46</v>
      </c>
      <c r="E33" s="24" t="s">
        <v>11</v>
      </c>
      <c r="F33" s="24">
        <v>5</v>
      </c>
      <c r="G33" s="24" t="s">
        <v>48</v>
      </c>
      <c r="H33" s="24" t="s">
        <v>66</v>
      </c>
      <c r="I33" s="24">
        <f>I32</f>
        <v>576</v>
      </c>
      <c r="J33" s="24" t="s">
        <v>3</v>
      </c>
      <c r="K33" s="24" t="s">
        <v>3</v>
      </c>
      <c r="L33" s="29" t="s">
        <v>3</v>
      </c>
      <c r="M33" s="2"/>
      <c r="N33" s="2"/>
    </row>
    <row r="34" spans="1:14" ht="12.6" thickBot="1" x14ac:dyDescent="0.3">
      <c r="A34" s="23">
        <v>9</v>
      </c>
      <c r="B34" s="24" t="s">
        <v>1</v>
      </c>
      <c r="C34" s="58" t="s">
        <v>77</v>
      </c>
      <c r="D34" s="58" t="s">
        <v>86</v>
      </c>
      <c r="E34" s="24" t="s">
        <v>83</v>
      </c>
      <c r="F34" s="58" t="s">
        <v>85</v>
      </c>
      <c r="G34" s="24" t="s">
        <v>48</v>
      </c>
      <c r="H34" s="58" t="s">
        <v>73</v>
      </c>
      <c r="I34" s="58">
        <f>I33</f>
        <v>576</v>
      </c>
      <c r="J34" s="58" t="s">
        <v>3</v>
      </c>
      <c r="K34" s="58" t="s">
        <v>3</v>
      </c>
      <c r="L34" s="59" t="s">
        <v>3</v>
      </c>
      <c r="M34" s="2"/>
      <c r="N34" s="2"/>
    </row>
    <row r="35" spans="1:14" x14ac:dyDescent="0.25">
      <c r="A35" s="39">
        <v>1</v>
      </c>
      <c r="B35" s="40" t="s">
        <v>49</v>
      </c>
      <c r="C35" s="40" t="s">
        <v>8</v>
      </c>
      <c r="D35" s="40" t="s">
        <v>4</v>
      </c>
      <c r="E35" s="40" t="s">
        <v>5</v>
      </c>
      <c r="F35" s="40">
        <v>4</v>
      </c>
      <c r="G35" s="40">
        <v>40</v>
      </c>
      <c r="H35" s="40">
        <v>85</v>
      </c>
      <c r="I35" s="40">
        <f>I26/2</f>
        <v>18</v>
      </c>
      <c r="J35" s="41">
        <v>7.0000000000000007E-2</v>
      </c>
      <c r="K35" s="41">
        <v>0.09</v>
      </c>
      <c r="L35" s="42">
        <f t="shared" ref="L35:L37" si="2">(K35-J35)/J35</f>
        <v>0.28571428571428553</v>
      </c>
      <c r="M35" s="2"/>
      <c r="N35" s="2"/>
    </row>
    <row r="36" spans="1:14" x14ac:dyDescent="0.25">
      <c r="A36" s="30">
        <v>2</v>
      </c>
      <c r="B36" s="31" t="s">
        <v>49</v>
      </c>
      <c r="C36" s="31" t="s">
        <v>7</v>
      </c>
      <c r="D36" s="31" t="s">
        <v>4</v>
      </c>
      <c r="E36" s="31" t="s">
        <v>5</v>
      </c>
      <c r="F36" s="31">
        <v>3</v>
      </c>
      <c r="G36" s="31">
        <v>40</v>
      </c>
      <c r="H36" s="31">
        <f>H15-90</f>
        <v>1410</v>
      </c>
      <c r="I36" s="31">
        <v>2</v>
      </c>
      <c r="J36" s="32">
        <f>I36*F36*G36*H36*7.85/1000000</f>
        <v>2.6564399999999999</v>
      </c>
      <c r="K36" s="33">
        <f t="shared" ref="K36:K37" si="3">((((1250-(INT(1250/G36)*G36))/(INT(1250/G36)))+G36)*F36*H36*I36*7.85)/1000000</f>
        <v>2.6778629032258063</v>
      </c>
      <c r="L36" s="34">
        <f t="shared" si="2"/>
        <v>8.0645161290322474E-3</v>
      </c>
      <c r="M36" s="2"/>
      <c r="N36" s="2"/>
    </row>
    <row r="37" spans="1:14" x14ac:dyDescent="0.25">
      <c r="A37" s="30">
        <v>3</v>
      </c>
      <c r="B37" s="31" t="s">
        <v>49</v>
      </c>
      <c r="C37" s="31" t="s">
        <v>17</v>
      </c>
      <c r="D37" s="31" t="s">
        <v>4</v>
      </c>
      <c r="E37" s="31" t="s">
        <v>5</v>
      </c>
      <c r="F37" s="31">
        <v>3</v>
      </c>
      <c r="G37" s="31">
        <v>20</v>
      </c>
      <c r="H37" s="31">
        <v>180</v>
      </c>
      <c r="I37" s="31">
        <v>1</v>
      </c>
      <c r="J37" s="32">
        <f>I37*F37*G37*H37*7.85/1000000</f>
        <v>8.4779999999999994E-2</v>
      </c>
      <c r="K37" s="33">
        <f t="shared" si="3"/>
        <v>8.5463709677419369E-2</v>
      </c>
      <c r="L37" s="34">
        <f t="shared" si="2"/>
        <v>8.064516129032499E-3</v>
      </c>
      <c r="M37" s="2"/>
      <c r="N37" s="2"/>
    </row>
    <row r="38" spans="1:14" x14ac:dyDescent="0.25">
      <c r="A38" s="30">
        <v>4</v>
      </c>
      <c r="B38" s="31" t="s">
        <v>49</v>
      </c>
      <c r="C38" s="31" t="s">
        <v>47</v>
      </c>
      <c r="D38" s="31" t="s">
        <v>47</v>
      </c>
      <c r="E38" s="31" t="s">
        <v>33</v>
      </c>
      <c r="F38" s="31" t="s">
        <v>3</v>
      </c>
      <c r="G38" s="35" t="s">
        <v>3</v>
      </c>
      <c r="H38" s="31" t="s">
        <v>3</v>
      </c>
      <c r="I38" s="31">
        <f>I27*2</f>
        <v>36</v>
      </c>
      <c r="J38" s="32" t="s">
        <v>3</v>
      </c>
      <c r="K38" s="32" t="s">
        <v>3</v>
      </c>
      <c r="L38" s="36" t="s">
        <v>3</v>
      </c>
      <c r="M38" s="2"/>
      <c r="N38" s="2"/>
    </row>
    <row r="39" spans="1:14" x14ac:dyDescent="0.25">
      <c r="A39" s="30">
        <v>5</v>
      </c>
      <c r="B39" s="31" t="s">
        <v>49</v>
      </c>
      <c r="C39" s="31" t="s">
        <v>20</v>
      </c>
      <c r="D39" s="66" t="s">
        <v>45</v>
      </c>
      <c r="E39" s="66" t="s">
        <v>78</v>
      </c>
      <c r="F39" s="31">
        <v>5.6</v>
      </c>
      <c r="G39" s="31" t="s">
        <v>48</v>
      </c>
      <c r="H39" s="31" t="s">
        <v>65</v>
      </c>
      <c r="I39" s="31">
        <f>I38*2</f>
        <v>72</v>
      </c>
      <c r="J39" s="31" t="s">
        <v>3</v>
      </c>
      <c r="K39" s="31" t="s">
        <v>3</v>
      </c>
      <c r="L39" s="37" t="s">
        <v>3</v>
      </c>
      <c r="M39" s="2"/>
      <c r="N39" s="2"/>
    </row>
    <row r="40" spans="1:14" x14ac:dyDescent="0.25">
      <c r="A40" s="30">
        <v>6</v>
      </c>
      <c r="B40" s="31" t="s">
        <v>49</v>
      </c>
      <c r="C40" s="31" t="s">
        <v>21</v>
      </c>
      <c r="D40" s="66" t="s">
        <v>46</v>
      </c>
      <c r="E40" s="66" t="s">
        <v>10</v>
      </c>
      <c r="F40" s="31">
        <v>5</v>
      </c>
      <c r="G40" s="31" t="s">
        <v>48</v>
      </c>
      <c r="H40" s="31" t="s">
        <v>66</v>
      </c>
      <c r="I40" s="31">
        <f>I39</f>
        <v>72</v>
      </c>
      <c r="J40" s="31" t="s">
        <v>3</v>
      </c>
      <c r="K40" s="31" t="s">
        <v>3</v>
      </c>
      <c r="L40" s="37" t="s">
        <v>3</v>
      </c>
      <c r="M40" s="2"/>
      <c r="N40" s="2"/>
    </row>
    <row r="41" spans="1:14" x14ac:dyDescent="0.25">
      <c r="A41" s="30">
        <v>7</v>
      </c>
      <c r="B41" s="31" t="s">
        <v>49</v>
      </c>
      <c r="C41" s="31" t="s">
        <v>61</v>
      </c>
      <c r="D41" s="66" t="s">
        <v>62</v>
      </c>
      <c r="E41" s="66" t="s">
        <v>87</v>
      </c>
      <c r="F41" s="31" t="s">
        <v>82</v>
      </c>
      <c r="G41" s="31" t="s">
        <v>48</v>
      </c>
      <c r="H41" s="31" t="s">
        <v>67</v>
      </c>
      <c r="I41" s="31">
        <f>I40</f>
        <v>72</v>
      </c>
      <c r="J41" s="31" t="s">
        <v>3</v>
      </c>
      <c r="K41" s="31" t="s">
        <v>3</v>
      </c>
      <c r="L41" s="37" t="s">
        <v>3</v>
      </c>
      <c r="M41" s="2"/>
      <c r="N41" s="2"/>
    </row>
    <row r="42" spans="1:14" x14ac:dyDescent="0.25">
      <c r="A42" s="30">
        <v>8</v>
      </c>
      <c r="B42" s="31" t="s">
        <v>49</v>
      </c>
      <c r="C42" s="31" t="s">
        <v>18</v>
      </c>
      <c r="D42" s="66" t="s">
        <v>45</v>
      </c>
      <c r="E42" s="66" t="s">
        <v>79</v>
      </c>
      <c r="F42" s="31">
        <v>5.6</v>
      </c>
      <c r="G42" s="31" t="s">
        <v>48</v>
      </c>
      <c r="H42" s="31" t="s">
        <v>65</v>
      </c>
      <c r="I42" s="31">
        <f>(INT(H36/135)+1)</f>
        <v>11</v>
      </c>
      <c r="J42" s="31" t="s">
        <v>3</v>
      </c>
      <c r="K42" s="31" t="s">
        <v>3</v>
      </c>
      <c r="L42" s="37" t="s">
        <v>3</v>
      </c>
      <c r="M42" s="2"/>
      <c r="N42" s="2"/>
    </row>
    <row r="43" spans="1:14" x14ac:dyDescent="0.25">
      <c r="A43" s="30">
        <v>9</v>
      </c>
      <c r="B43" s="31" t="s">
        <v>49</v>
      </c>
      <c r="C43" s="31" t="s">
        <v>19</v>
      </c>
      <c r="D43" s="66" t="s">
        <v>46</v>
      </c>
      <c r="E43" s="66" t="s">
        <v>11</v>
      </c>
      <c r="F43" s="31">
        <v>5</v>
      </c>
      <c r="G43" s="31" t="s">
        <v>48</v>
      </c>
      <c r="H43" s="31" t="s">
        <v>66</v>
      </c>
      <c r="I43" s="31">
        <f>I42</f>
        <v>11</v>
      </c>
      <c r="J43" s="31" t="s">
        <v>3</v>
      </c>
      <c r="K43" s="31" t="s">
        <v>3</v>
      </c>
      <c r="L43" s="37" t="s">
        <v>3</v>
      </c>
      <c r="M43" s="2"/>
      <c r="N43" s="2"/>
    </row>
    <row r="44" spans="1:14" ht="12.6" thickBot="1" x14ac:dyDescent="0.3">
      <c r="A44" s="43">
        <v>10</v>
      </c>
      <c r="B44" s="38" t="s">
        <v>49</v>
      </c>
      <c r="C44" s="38" t="s">
        <v>80</v>
      </c>
      <c r="D44" s="67" t="s">
        <v>86</v>
      </c>
      <c r="E44" s="68" t="s">
        <v>83</v>
      </c>
      <c r="F44" s="60" t="s">
        <v>85</v>
      </c>
      <c r="G44" s="38" t="s">
        <v>48</v>
      </c>
      <c r="H44" s="60" t="s">
        <v>81</v>
      </c>
      <c r="I44" s="60">
        <f>I43</f>
        <v>11</v>
      </c>
      <c r="J44" s="60"/>
      <c r="K44" s="60"/>
      <c r="L44" s="61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</sheetData>
  <sheetProtection algorithmName="SHA-512" hashValue="NQWZYtWLlqYFgESEn0OQiGwZ+ftG5z7B6lKk8lxY/vG7cAJpQebH+3NW4pGjbYJuPALt9OkpwKKU0QwxGjgPrQ==" saltValue="A+zjiGuNt6RWKw/nH9JVWQ==" spinCount="100000" sheet="1" formatCells="0" formatColumns="0" formatRows="0" insertColumns="0" insertRows="0" insertHyperlinks="0" deleteColumns="0" deleteRows="0" selectLockedCells="1" sort="0" autoFilter="0" pivotTables="0"/>
  <mergeCells count="1">
    <mergeCell ref="C1:E1"/>
  </mergeCells>
  <pageMargins left="0.3" right="0.3" top="0.3" bottom="0.3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2021-09-14T05:46:13Z</dcterms:modified>
</cp:coreProperties>
</file>