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I\Desktop\HVAC BOM Final\"/>
    </mc:Choice>
  </mc:AlternateContent>
  <bookViews>
    <workbookView xWindow="0" yWindow="0" windowWidth="20490" windowHeight="7110" activeTab="4"/>
  </bookViews>
  <sheets>
    <sheet name="درام" sheetId="1" r:id="rId1"/>
    <sheet name="پایه ثابت" sheetId="2" r:id="rId2"/>
    <sheet name="پایه متحرک" sheetId="3" r:id="rId3"/>
    <sheet name="قاب" sheetId="4" r:id="rId4"/>
    <sheet name="سیستم محرک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5" l="1"/>
  <c r="Q25" i="5" s="1"/>
  <c r="R25" i="5" s="1"/>
  <c r="P24" i="5" l="1"/>
  <c r="Q24" i="5" s="1"/>
  <c r="R24" i="5" s="1"/>
  <c r="P23" i="5"/>
  <c r="Q23" i="5" s="1"/>
  <c r="R23" i="5" s="1"/>
  <c r="P22" i="5"/>
  <c r="Q22" i="5" s="1"/>
  <c r="R22" i="5" s="1"/>
  <c r="P21" i="5"/>
  <c r="Q21" i="5" s="1"/>
  <c r="R21" i="5" s="1"/>
  <c r="P20" i="5"/>
  <c r="P19" i="5"/>
  <c r="Q19" i="5" s="1"/>
  <c r="R19" i="5" s="1"/>
  <c r="P18" i="5"/>
  <c r="Q18" i="5" s="1"/>
  <c r="R18" i="5" s="1"/>
  <c r="P17" i="5"/>
  <c r="Q17" i="5" s="1"/>
  <c r="R17" i="5" s="1"/>
  <c r="P16" i="5"/>
  <c r="Q16" i="5" s="1"/>
  <c r="R16" i="5" s="1"/>
  <c r="P15" i="5"/>
  <c r="Q15" i="5" s="1"/>
  <c r="R15" i="5" s="1"/>
  <c r="P14" i="5"/>
  <c r="Q14" i="5" s="1"/>
  <c r="R14" i="5" s="1"/>
  <c r="P13" i="5"/>
  <c r="Q13" i="5" s="1"/>
  <c r="R13" i="5" s="1"/>
  <c r="P12" i="5"/>
  <c r="Q12" i="5" s="1"/>
  <c r="R12" i="5" s="1"/>
  <c r="P11" i="5"/>
  <c r="Q11" i="5" s="1"/>
  <c r="R11" i="5" s="1"/>
  <c r="P10" i="5"/>
  <c r="Q10" i="5" s="1"/>
  <c r="R10" i="5" s="1"/>
  <c r="P9" i="5"/>
  <c r="Q9" i="5" s="1"/>
  <c r="R9" i="5" s="1"/>
  <c r="P8" i="5"/>
  <c r="Q8" i="5" s="1"/>
  <c r="R8" i="5" s="1"/>
  <c r="Q20" i="5"/>
  <c r="R20" i="5" s="1"/>
  <c r="P24" i="4"/>
  <c r="Q24" i="4" s="1"/>
  <c r="R24" i="4" s="1"/>
  <c r="Q23" i="4"/>
  <c r="R23" i="4" s="1"/>
  <c r="P23" i="4"/>
  <c r="P22" i="4"/>
  <c r="Q22" i="4" s="1"/>
  <c r="R22" i="4" s="1"/>
  <c r="P21" i="4"/>
  <c r="P20" i="4"/>
  <c r="Q20" i="4" s="1"/>
  <c r="R20" i="4" s="1"/>
  <c r="Q19" i="4"/>
  <c r="R19" i="4" s="1"/>
  <c r="P19" i="4"/>
  <c r="Q18" i="4"/>
  <c r="R18" i="4" s="1"/>
  <c r="P18" i="4"/>
  <c r="P17" i="4"/>
  <c r="Q17" i="4" s="1"/>
  <c r="R17" i="4" s="1"/>
  <c r="P15" i="4"/>
  <c r="Q15" i="4" s="1"/>
  <c r="P14" i="4"/>
  <c r="P13" i="4"/>
  <c r="Q13" i="4" s="1"/>
  <c r="Q12" i="4"/>
  <c r="P12" i="4"/>
  <c r="P11" i="4"/>
  <c r="Q11" i="4" s="1"/>
  <c r="P10" i="4"/>
  <c r="R9" i="4"/>
  <c r="P9" i="4"/>
  <c r="Q9" i="4" s="1"/>
  <c r="Q8" i="4"/>
  <c r="P8" i="4"/>
  <c r="G8" i="4"/>
  <c r="K17" i="4" s="1"/>
  <c r="Q21" i="4"/>
  <c r="R21" i="4" s="1"/>
  <c r="Q49" i="3"/>
  <c r="R49" i="3" s="1"/>
  <c r="P49" i="3"/>
  <c r="R48" i="3"/>
  <c r="P48" i="3"/>
  <c r="Q48" i="3" s="1"/>
  <c r="Q47" i="3"/>
  <c r="R47" i="3" s="1"/>
  <c r="P47" i="3"/>
  <c r="P46" i="3"/>
  <c r="Q46" i="3" s="1"/>
  <c r="R46" i="3" s="1"/>
  <c r="Q45" i="3"/>
  <c r="R45" i="3" s="1"/>
  <c r="P45" i="3"/>
  <c r="P44" i="3"/>
  <c r="Q44" i="3" s="1"/>
  <c r="R44" i="3" s="1"/>
  <c r="Q43" i="3"/>
  <c r="R43" i="3" s="1"/>
  <c r="P43" i="3"/>
  <c r="P42" i="3"/>
  <c r="Q42" i="3" s="1"/>
  <c r="R42" i="3" s="1"/>
  <c r="Q41" i="3"/>
  <c r="R41" i="3" s="1"/>
  <c r="P41" i="3"/>
  <c r="P40" i="3"/>
  <c r="Q40" i="3" s="1"/>
  <c r="R40" i="3" s="1"/>
  <c r="Q39" i="3"/>
  <c r="R39" i="3" s="1"/>
  <c r="P39" i="3"/>
  <c r="P38" i="3"/>
  <c r="Q38" i="3" s="1"/>
  <c r="R38" i="3" s="1"/>
  <c r="Q37" i="3"/>
  <c r="R37" i="3" s="1"/>
  <c r="P37" i="3"/>
  <c r="G37" i="3"/>
  <c r="P23" i="3"/>
  <c r="Q23" i="3" s="1"/>
  <c r="R23" i="3" s="1"/>
  <c r="P22" i="3"/>
  <c r="R21" i="3"/>
  <c r="P21" i="3"/>
  <c r="Q21" i="3" s="1"/>
  <c r="Q20" i="3"/>
  <c r="R20" i="3" s="1"/>
  <c r="P20" i="3"/>
  <c r="P19" i="3"/>
  <c r="Q19" i="3" s="1"/>
  <c r="R19" i="3" s="1"/>
  <c r="P18" i="3"/>
  <c r="P17" i="3"/>
  <c r="P16" i="3"/>
  <c r="P15" i="3"/>
  <c r="Q15" i="3" s="1"/>
  <c r="R15" i="3" s="1"/>
  <c r="Q14" i="3"/>
  <c r="R14" i="3" s="1"/>
  <c r="P14" i="3"/>
  <c r="P13" i="3"/>
  <c r="Q13" i="3" s="1"/>
  <c r="P12" i="3"/>
  <c r="Q12" i="3" s="1"/>
  <c r="P11" i="3"/>
  <c r="Q11" i="3" s="1"/>
  <c r="P10" i="3"/>
  <c r="Q10" i="3" s="1"/>
  <c r="R10" i="3" s="1"/>
  <c r="Q9" i="3"/>
  <c r="R9" i="3" s="1"/>
  <c r="P9" i="3"/>
  <c r="R8" i="3"/>
  <c r="P8" i="3"/>
  <c r="Q8" i="3" s="1"/>
  <c r="G8" i="3"/>
  <c r="K8" i="3" s="1"/>
  <c r="Q22" i="3"/>
  <c r="R22" i="3" s="1"/>
  <c r="Q18" i="2"/>
  <c r="R18" i="2" s="1"/>
  <c r="P18" i="2"/>
  <c r="P17" i="2"/>
  <c r="Q17" i="2" s="1"/>
  <c r="R17" i="2" s="1"/>
  <c r="P16" i="2"/>
  <c r="R15" i="2"/>
  <c r="P15" i="2"/>
  <c r="Q15" i="2" s="1"/>
  <c r="Q14" i="2"/>
  <c r="R14" i="2" s="1"/>
  <c r="P14" i="2"/>
  <c r="P13" i="2"/>
  <c r="Q13" i="2" s="1"/>
  <c r="R13" i="2" s="1"/>
  <c r="P12" i="2"/>
  <c r="Q12" i="2" s="1"/>
  <c r="R12" i="2" s="1"/>
  <c r="P11" i="2"/>
  <c r="Q11" i="2" s="1"/>
  <c r="R11" i="2" s="1"/>
  <c r="Q10" i="2"/>
  <c r="P10" i="2"/>
  <c r="Q9" i="2"/>
  <c r="R9" i="2" s="1"/>
  <c r="P9" i="2"/>
  <c r="P8" i="2"/>
  <c r="Q8" i="2" s="1"/>
  <c r="R8" i="2" s="1"/>
  <c r="G8" i="2"/>
  <c r="P57" i="1"/>
  <c r="Q57" i="1" s="1"/>
  <c r="R56" i="1"/>
  <c r="P56" i="1"/>
  <c r="Q56" i="1" s="1"/>
  <c r="Q55" i="1"/>
  <c r="R55" i="1" s="1"/>
  <c r="P55" i="1"/>
  <c r="G39" i="1"/>
  <c r="K43" i="1" s="1"/>
  <c r="O51" i="1"/>
  <c r="P26" i="1"/>
  <c r="Q26" i="1" s="1"/>
  <c r="Q23" i="1"/>
  <c r="P23" i="1"/>
  <c r="P17" i="1"/>
  <c r="Q17" i="1" s="1"/>
  <c r="R17" i="1" s="1"/>
  <c r="Q16" i="1"/>
  <c r="P16" i="1"/>
  <c r="O14" i="1"/>
  <c r="P14" i="1" s="1"/>
  <c r="Q14" i="1" s="1"/>
  <c r="R14" i="1" s="1"/>
  <c r="P13" i="1"/>
  <c r="Q13" i="1" s="1"/>
  <c r="R13" i="1" s="1"/>
  <c r="Q12" i="1"/>
  <c r="R12" i="1" s="1"/>
  <c r="P12" i="1"/>
  <c r="O26" i="1"/>
  <c r="O39" i="1" s="1"/>
  <c r="G8" i="1"/>
  <c r="B8" i="4"/>
  <c r="O16" i="4" s="1"/>
  <c r="P16" i="4" s="1"/>
  <c r="Q16" i="4" s="1"/>
  <c r="R16" i="4" s="1"/>
  <c r="K12" i="1" l="1"/>
  <c r="K16" i="1"/>
  <c r="O53" i="1"/>
  <c r="P53" i="1" s="1"/>
  <c r="Q53" i="1" s="1"/>
  <c r="R53" i="1" s="1"/>
  <c r="O52" i="1"/>
  <c r="P52" i="1" s="1"/>
  <c r="Q52" i="1" s="1"/>
  <c r="R52" i="1" s="1"/>
  <c r="R57" i="1"/>
  <c r="J8" i="1"/>
  <c r="R14" i="4"/>
  <c r="R10" i="4"/>
  <c r="R13" i="4"/>
  <c r="R15" i="4"/>
  <c r="R11" i="4"/>
  <c r="R12" i="4"/>
  <c r="R8" i="4"/>
  <c r="P51" i="1"/>
  <c r="Q51" i="1" s="1"/>
  <c r="R51" i="1" s="1"/>
  <c r="B37" i="3"/>
  <c r="J20" i="1"/>
  <c r="O21" i="1" s="1"/>
  <c r="P21" i="1" s="1"/>
  <c r="Q21" i="1" s="1"/>
  <c r="R21" i="1" s="1"/>
  <c r="B8" i="3"/>
  <c r="R26" i="1"/>
  <c r="N26" i="1"/>
  <c r="O25" i="1"/>
  <c r="P25" i="1" s="1"/>
  <c r="Q25" i="1" s="1"/>
  <c r="R25" i="1" s="1"/>
  <c r="O24" i="1"/>
  <c r="N23" i="1"/>
  <c r="N16" i="1"/>
  <c r="B8" i="5"/>
  <c r="B8" i="2"/>
  <c r="N57" i="1"/>
  <c r="R23" i="1"/>
  <c r="N20" i="1"/>
  <c r="R16" i="1"/>
  <c r="O15" i="1"/>
  <c r="P15" i="1" s="1"/>
  <c r="Q15" i="1" s="1"/>
  <c r="R15" i="1" s="1"/>
  <c r="K20" i="1"/>
  <c r="P39" i="1"/>
  <c r="Q39" i="1" s="1"/>
  <c r="R39" i="1" s="1"/>
  <c r="O40" i="1"/>
  <c r="O22" i="1"/>
  <c r="P22" i="1" s="1"/>
  <c r="Q22" i="1" s="1"/>
  <c r="R22" i="1" s="1"/>
  <c r="Q16" i="2"/>
  <c r="R16" i="2" s="1"/>
  <c r="Q16" i="3"/>
  <c r="R16" i="3" s="1"/>
  <c r="Q17" i="3"/>
  <c r="Q18" i="3"/>
  <c r="Q10" i="4"/>
  <c r="Q14" i="4"/>
  <c r="K19" i="4"/>
  <c r="O43" i="1"/>
  <c r="G8" i="5"/>
  <c r="O46" i="1" l="1"/>
  <c r="P24" i="1"/>
  <c r="Q24" i="1" s="1"/>
  <c r="R24" i="1" s="1"/>
  <c r="K8" i="5"/>
  <c r="K17" i="5"/>
  <c r="P40" i="1"/>
  <c r="Q40" i="1" s="1"/>
  <c r="R40" i="1" s="1"/>
  <c r="O41" i="1"/>
  <c r="P41" i="1" s="1"/>
  <c r="Q41" i="1" s="1"/>
  <c r="R41" i="1" s="1"/>
  <c r="O54" i="1"/>
  <c r="P54" i="1" s="1"/>
  <c r="Q54" i="1" s="1"/>
  <c r="R54" i="1" s="1"/>
  <c r="O48" i="1"/>
  <c r="O11" i="1"/>
  <c r="P11" i="1" s="1"/>
  <c r="Q11" i="1" s="1"/>
  <c r="R11" i="1" s="1"/>
  <c r="O9" i="1"/>
  <c r="P9" i="1" s="1"/>
  <c r="Q9" i="1" s="1"/>
  <c r="R9" i="1" s="1"/>
  <c r="O42" i="1"/>
  <c r="P42" i="1" s="1"/>
  <c r="Q42" i="1" s="1"/>
  <c r="R42" i="1" s="1"/>
  <c r="O20" i="1"/>
  <c r="P20" i="1" s="1"/>
  <c r="Q20" i="1" s="1"/>
  <c r="R20" i="1" s="1"/>
  <c r="O10" i="1"/>
  <c r="P10" i="1" s="1"/>
  <c r="Q10" i="1" s="1"/>
  <c r="R10" i="1" s="1"/>
  <c r="O8" i="1"/>
  <c r="P8" i="1" s="1"/>
  <c r="Q8" i="1" s="1"/>
  <c r="R8" i="1" s="1"/>
  <c r="J18" i="1"/>
  <c r="K8" i="1"/>
  <c r="O44" i="1"/>
  <c r="P43" i="1"/>
  <c r="Q43" i="1" s="1"/>
  <c r="R43" i="1" s="1"/>
  <c r="N10" i="2"/>
  <c r="R10" i="2"/>
  <c r="R18" i="3"/>
  <c r="R17" i="3"/>
  <c r="N13" i="3"/>
  <c r="N12" i="3"/>
  <c r="N11" i="3"/>
  <c r="R13" i="3"/>
  <c r="R12" i="3"/>
  <c r="R11" i="3"/>
  <c r="N17" i="3"/>
  <c r="N18" i="3"/>
  <c r="O45" i="1" l="1"/>
  <c r="P45" i="1" s="1"/>
  <c r="Q45" i="1" s="1"/>
  <c r="R45" i="1" s="1"/>
  <c r="P44" i="1"/>
  <c r="Q44" i="1" s="1"/>
  <c r="R44" i="1" s="1"/>
  <c r="O47" i="1"/>
  <c r="P47" i="1" s="1"/>
  <c r="Q47" i="1" s="1"/>
  <c r="R47" i="1" s="1"/>
  <c r="P46" i="1"/>
  <c r="Q46" i="1" s="1"/>
  <c r="R46" i="1" s="1"/>
  <c r="O49" i="1"/>
  <c r="P48" i="1"/>
  <c r="Q48" i="1" s="1"/>
  <c r="R48" i="1" s="1"/>
  <c r="O18" i="1"/>
  <c r="K18" i="1"/>
  <c r="O19" i="1" l="1"/>
  <c r="P19" i="1" s="1"/>
  <c r="Q19" i="1" s="1"/>
  <c r="R19" i="1" s="1"/>
  <c r="P18" i="1"/>
  <c r="Q18" i="1" s="1"/>
  <c r="R18" i="1" s="1"/>
  <c r="O50" i="1"/>
  <c r="P50" i="1" s="1"/>
  <c r="Q50" i="1" s="1"/>
  <c r="R50" i="1" s="1"/>
  <c r="P49" i="1"/>
  <c r="Q49" i="1" s="1"/>
  <c r="R49" i="1" s="1"/>
</calcChain>
</file>

<file path=xl/sharedStrings.xml><?xml version="1.0" encoding="utf-8"?>
<sst xmlns="http://schemas.openxmlformats.org/spreadsheetml/2006/main" count="733" uniqueCount="240">
  <si>
    <t>محصول</t>
  </si>
  <si>
    <t>زیرمحصول</t>
  </si>
  <si>
    <t>مجموعه</t>
  </si>
  <si>
    <t>قطعه</t>
  </si>
  <si>
    <t>فرآیند</t>
  </si>
  <si>
    <t>کد محصول</t>
  </si>
  <si>
    <t>نوع محصول</t>
  </si>
  <si>
    <t>تعداد در سفارش</t>
  </si>
  <si>
    <t>کد زیر محصول</t>
  </si>
  <si>
    <t>شرح</t>
  </si>
  <si>
    <t>تعداد در محصول</t>
  </si>
  <si>
    <t>کد مجموعه</t>
  </si>
  <si>
    <t>تعداد در
زیر محصول</t>
  </si>
  <si>
    <t>تعداد در
سفارش</t>
  </si>
  <si>
    <t>شمارنده</t>
  </si>
  <si>
    <t>مشخصات</t>
  </si>
  <si>
    <t>تعداد در زیر محصول</t>
  </si>
  <si>
    <t>مقدار خالص</t>
  </si>
  <si>
    <t>واحد</t>
  </si>
  <si>
    <t>نفر ساعت</t>
  </si>
  <si>
    <t>04</t>
  </si>
  <si>
    <t>03</t>
  </si>
  <si>
    <t>1</t>
  </si>
  <si>
    <t>01</t>
  </si>
  <si>
    <t>بدنه روتاری هوا</t>
  </si>
  <si>
    <t>توری پانچی</t>
  </si>
  <si>
    <t>1.5x840x1570</t>
  </si>
  <si>
    <t>Kg</t>
  </si>
  <si>
    <t>2</t>
  </si>
  <si>
    <t>ناودانی بدنه</t>
  </si>
  <si>
    <t>4x121x1900</t>
  </si>
  <si>
    <t>3</t>
  </si>
  <si>
    <t>نبشی بدنه</t>
  </si>
  <si>
    <t>4x73x1570</t>
  </si>
  <si>
    <t>4</t>
  </si>
  <si>
    <t>ناودانی تقویتی</t>
  </si>
  <si>
    <t>4x154x1800</t>
  </si>
  <si>
    <t>02</t>
  </si>
  <si>
    <t>صفحه و شفت روتاری</t>
  </si>
  <si>
    <t xml:space="preserve"> شفت سمت ثابت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</si>
  <si>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L=260</t>
    </r>
  </si>
  <si>
    <t xml:space="preserve"> شفت سمت متحرک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</si>
  <si>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L=300</t>
    </r>
  </si>
  <si>
    <t>صفحه شفت</t>
  </si>
  <si>
    <t>10x350x350</t>
  </si>
  <si>
    <t xml:space="preserve">صفحه تقویتی </t>
  </si>
  <si>
    <t>10x70x120</t>
  </si>
  <si>
    <t>پولی فلزی روتاری</t>
  </si>
  <si>
    <t>پولی فلزی انتهای روتاری</t>
  </si>
  <si>
    <t>نگهدارنده ناودانی تسمه</t>
  </si>
  <si>
    <t>4x40x80</t>
  </si>
  <si>
    <t>نوار خاردار</t>
  </si>
  <si>
    <t>تسمه نوار خاردار</t>
  </si>
  <si>
    <t>L=1700</t>
  </si>
  <si>
    <t>Pcs</t>
  </si>
  <si>
    <t>صفحه زیر نوار خاردار</t>
  </si>
  <si>
    <t>2x30x1700</t>
  </si>
  <si>
    <t>05</t>
  </si>
  <si>
    <t>بازو</t>
  </si>
  <si>
    <t>ناودانی انتهایی بازو</t>
  </si>
  <si>
    <t>لوله تقویتی ناودانی بازو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</si>
  <si>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L=88</t>
    </r>
  </si>
  <si>
    <t>صفحه اتصال نبشی تقویتی</t>
  </si>
  <si>
    <t>سینی انتهایی</t>
  </si>
  <si>
    <t>-</t>
  </si>
  <si>
    <t>ورق اتصال مثلثی</t>
  </si>
  <si>
    <t>8x155x270</t>
  </si>
  <si>
    <t>تسمه کلیدی</t>
  </si>
  <si>
    <t>2x100x1700</t>
  </si>
  <si>
    <t>تسمه نوار عرضی</t>
  </si>
  <si>
    <t>یست تسمه عرضی</t>
  </si>
  <si>
    <t xml:space="preserve"> پیچ تسمه نوار عرضی</t>
  </si>
  <si>
    <t>M6x100</t>
  </si>
  <si>
    <t xml:space="preserve"> مهره تسمه نوار عرضی</t>
  </si>
  <si>
    <t>فیلتر اسفنجی</t>
  </si>
  <si>
    <t>ppi45</t>
  </si>
  <si>
    <t>06</t>
  </si>
  <si>
    <t>بسته پیچ و اتصالات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</si>
  <si>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</si>
  <si>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</si>
  <si>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</si>
  <si>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</si>
  <si>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</si>
  <si>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</si>
  <si>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</t>
  </si>
  <si>
    <t>M8x30</t>
  </si>
  <si>
    <t>مهره اتصال صفحه مثلثی</t>
  </si>
  <si>
    <t xml:space="preserve">M8 </t>
  </si>
  <si>
    <t>پیچ اتصال کپه ها</t>
  </si>
  <si>
    <t>M8x20</t>
  </si>
  <si>
    <t>مهره اتصال کپه ها</t>
  </si>
  <si>
    <t>واشر فنری اتصال کپه ها</t>
  </si>
  <si>
    <t>A8</t>
  </si>
  <si>
    <t>پیچ اتصال تکه ها</t>
  </si>
  <si>
    <t>M10x30</t>
  </si>
  <si>
    <t>مهره اتصال تکه ها</t>
  </si>
  <si>
    <t xml:space="preserve">M10 </t>
  </si>
  <si>
    <t>واشر  اتصال تکه ها</t>
  </si>
  <si>
    <t xml:space="preserve">A10 </t>
  </si>
  <si>
    <t>پیچ ورشو نوار خاردار</t>
  </si>
  <si>
    <t>M1.4x10</t>
  </si>
  <si>
    <t>پیچ اتصال سینی به ناودانی بازو</t>
  </si>
  <si>
    <t>مهره اتصال سینی به ناودانی بازو</t>
  </si>
  <si>
    <t>M8</t>
  </si>
  <si>
    <t>لاستیک هوابند</t>
  </si>
  <si>
    <t>درام3400</t>
  </si>
  <si>
    <t>درام5100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</si>
  <si>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</si>
  <si>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</si>
  <si>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</si>
  <si>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</si>
  <si>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</si>
  <si>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</si>
  <si>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تقویتی پایه</t>
  </si>
  <si>
    <t>8x155x155</t>
  </si>
  <si>
    <t>یاتاقان</t>
  </si>
  <si>
    <t>UCP212</t>
  </si>
  <si>
    <t>پیچ</t>
  </si>
  <si>
    <t>M18x70</t>
  </si>
  <si>
    <t xml:space="preserve">مهره  </t>
  </si>
  <si>
    <t xml:space="preserve">M18 </t>
  </si>
  <si>
    <t xml:space="preserve">واشر فنری  </t>
  </si>
  <si>
    <t>A18</t>
  </si>
  <si>
    <t xml:space="preserve">واشر تخت </t>
  </si>
  <si>
    <t>5</t>
  </si>
  <si>
    <t>پیچ رولپلاگ</t>
  </si>
  <si>
    <t>M8x80</t>
  </si>
  <si>
    <t>6</t>
  </si>
  <si>
    <t>رولپلاگ</t>
  </si>
  <si>
    <t>8x80</t>
  </si>
  <si>
    <t>پایه متحرک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</si>
  <si>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</si>
  <si>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</si>
  <si>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</si>
  <si>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</si>
  <si>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</si>
  <si>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</si>
  <si>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</si>
  <si>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7</t>
  </si>
  <si>
    <t>نگهدارنده صفحه زیر الکترو موتور</t>
  </si>
  <si>
    <t>3x300x150</t>
  </si>
  <si>
    <t>8</t>
  </si>
  <si>
    <t>رابط قوطی عرضی و تقویتی</t>
  </si>
  <si>
    <t>4x70x150</t>
  </si>
  <si>
    <t>9</t>
  </si>
  <si>
    <t>درپوش قوطی تقویتی</t>
  </si>
  <si>
    <t>4x70x70</t>
  </si>
  <si>
    <t>10</t>
  </si>
  <si>
    <t>نبشی هرزگزد</t>
  </si>
  <si>
    <t>11</t>
  </si>
  <si>
    <t>نبشی نگهدارنده صفحه موتور</t>
  </si>
  <si>
    <t>12</t>
  </si>
  <si>
    <t>میل پیچ</t>
  </si>
  <si>
    <r>
      <t>Ø</t>
    </r>
    <r>
      <rPr>
        <sz val="10.35"/>
        <color theme="1"/>
        <rFont val="Times New Roman"/>
        <family val="1"/>
      </rPr>
      <t xml:space="preserve">=15 , </t>
    </r>
    <r>
      <rPr>
        <sz val="9"/>
        <color theme="1"/>
        <rFont val="Times New Roman"/>
        <family val="1"/>
      </rPr>
      <t>L=303</t>
    </r>
  </si>
  <si>
    <t>13</t>
  </si>
  <si>
    <t>صفحه نگهدارنده میل پیچ</t>
  </si>
  <si>
    <t>8x40x50</t>
  </si>
  <si>
    <t>14</t>
  </si>
  <si>
    <t>صفحه اتصال پولی به میل پیچ</t>
  </si>
  <si>
    <t>8x40x40</t>
  </si>
  <si>
    <t>صفحه نگهدارنده پولی</t>
  </si>
  <si>
    <t>8x40x100</t>
  </si>
  <si>
    <t>لوله تقویتی قوطی عرضی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</si>
  <si>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L=70</t>
    </r>
  </si>
  <si>
    <t>17</t>
  </si>
  <si>
    <t>پیچ قوطی تقویتی</t>
  </si>
  <si>
    <t>M20x90</t>
  </si>
  <si>
    <t>18</t>
  </si>
  <si>
    <t>مهره قوطی تقویتی</t>
  </si>
  <si>
    <t>M20</t>
  </si>
  <si>
    <t>19</t>
  </si>
  <si>
    <t>واشر تخت قوطی تقویتی</t>
  </si>
  <si>
    <t>A20</t>
  </si>
  <si>
    <t>20</t>
  </si>
  <si>
    <t>واشر فنری قوطی تقویتی</t>
  </si>
  <si>
    <t>21</t>
  </si>
  <si>
    <t>مهره سر میل پیچ</t>
  </si>
  <si>
    <t>M16</t>
  </si>
  <si>
    <t>22</t>
  </si>
  <si>
    <t>اشپیل مهره میل پیچ</t>
  </si>
  <si>
    <t>2.6x30</t>
  </si>
  <si>
    <t>پیچ  یاتاقان</t>
  </si>
  <si>
    <t>مهره یاتاقان</t>
  </si>
  <si>
    <t>واشر تخت یاتاقان</t>
  </si>
  <si>
    <t>واشر فنری یاتاقان</t>
  </si>
  <si>
    <t>قاب</t>
  </si>
  <si>
    <t>سینی شماره 1</t>
  </si>
  <si>
    <t>2x1000x1000</t>
  </si>
  <si>
    <t>سینی شماره 2</t>
  </si>
  <si>
    <t>سینی شماره 3</t>
  </si>
  <si>
    <t>سینی شماره 4</t>
  </si>
  <si>
    <t>سینی شماره 5</t>
  </si>
  <si>
    <t>2x1000x500</t>
  </si>
  <si>
    <t>سینی شماره 6</t>
  </si>
  <si>
    <t>سینی شماره 7</t>
  </si>
  <si>
    <t>سینی شماره 8</t>
  </si>
  <si>
    <t>ناودانی تقویتی سینی</t>
  </si>
  <si>
    <t>2x80x3492</t>
  </si>
  <si>
    <t>نبشی قاب</t>
  </si>
  <si>
    <t>ورق اتصال سر نبشی</t>
  </si>
  <si>
    <t>4x40x40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</si>
  <si>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</si>
  <si>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</si>
  <si>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</si>
  <si>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</si>
  <si>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</si>
  <si>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</si>
  <si>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</si>
  <si>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</si>
  <si>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</si>
  <si>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M1.4</t>
  </si>
  <si>
    <t>سیستم محرک</t>
  </si>
  <si>
    <t>پولی تسمه سفت کن</t>
  </si>
  <si>
    <t>Ø=65, L=70</t>
  </si>
  <si>
    <t>بیرینگ</t>
  </si>
  <si>
    <t xml:space="preserve">6201z </t>
  </si>
  <si>
    <t>پیچ پولی تسمه سفت کن</t>
  </si>
  <si>
    <t>M10x100</t>
  </si>
  <si>
    <t>مهره پولی تسمه سفت کن</t>
  </si>
  <si>
    <t>واشر پولی تسمه سفت کن</t>
  </si>
  <si>
    <t>A10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</si>
  <si>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</si>
  <si>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</si>
  <si>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</si>
  <si>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</si>
  <si>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</si>
  <si>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r>
      <t xml:space="preserve">0.37 </t>
    </r>
    <r>
      <rPr>
        <sz val="10"/>
        <rFont val="B Nazanin"/>
        <charset val="178"/>
      </rPr>
      <t>کیلووات</t>
    </r>
  </si>
  <si>
    <t xml:space="preserve">تسمه سبز روتاری 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</si>
  <si>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</si>
  <si>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</si>
  <si>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</si>
  <si>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</si>
  <si>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</si>
  <si>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</si>
  <si>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</si>
  <si>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</si>
  <si>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</si>
  <si>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واشر استپ سر الکترو گیربکس</t>
  </si>
  <si>
    <t>خار شفت الکتروگیربکس</t>
  </si>
  <si>
    <t>6*6*100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</si>
</sst>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8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B Nazanin"/>
      <charset val="178"/>
    </font>
    <font>
      <sz val="9"/>
      <name val="B Nazanin"/>
      <charset val="178"/>
    </font>
    <font>
      <sz val="10"/>
      <name val="B Nazanin"/>
      <charset val="178"/>
    </font>
    <font>
      <sz val="8"/>
      <color theme="1"/>
      <name val="B Nazanin"/>
      <charset val="178"/>
    </font>
    <font>
      <sz val="8"/>
      <color theme="1"/>
      <name val="Times New Roman"/>
      <family val="1"/>
    </font>
    <font>
      <sz val="10"/>
      <color theme="1"/>
      <name val="B Nazanin"/>
      <charset val="178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Times New Roman"/>
      <family val="1"/>
    </font>
    <font>
      <sz val="10.35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6">
    <xf numFmtId="0" fontId="0" fillId="0" borderId="0" xfId="0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textRotation="90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5" fillId="0" borderId="10" xfId="0" applyNumberFormat="1" applyFont="1" applyFill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8" fillId="0" borderId="10" xfId="0" applyNumberFormat="1" applyFont="1" applyFill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" fontId="11" fillId="0" borderId="10" xfId="0" applyNumberFormat="1" applyFont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1" fontId="7" fillId="0" borderId="12" xfId="0" applyNumberFormat="1" applyFont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1" fontId="14" fillId="0" borderId="12" xfId="0" applyNumberFormat="1" applyFont="1" applyBorder="1" applyAlignment="1">
      <alignment horizontal="center" vertical="center"/>
    </xf>
    <xf numFmtId="1" fontId="9" fillId="0" borderId="12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1" fontId="7" fillId="0" borderId="10" xfId="0" applyNumberFormat="1" applyFont="1" applyFill="1" applyBorder="1" applyAlignment="1">
      <alignment horizontal="center" vertical="center"/>
    </xf>
    <xf numFmtId="1" fontId="10" fillId="0" borderId="10" xfId="0" quotePrefix="1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/>
    </xf>
    <xf numFmtId="1" fontId="10" fillId="0" borderId="10" xfId="0" applyNumberFormat="1" applyFont="1" applyFill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1" fontId="14" fillId="0" borderId="13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" fontId="9" fillId="0" borderId="13" xfId="0" applyNumberFormat="1" applyFont="1" applyBorder="1" applyAlignment="1">
      <alignment horizontal="center" vertical="center"/>
    </xf>
    <xf numFmtId="1" fontId="11" fillId="0" borderId="13" xfId="0" applyNumberFormat="1" applyFont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10" fillId="0" borderId="12" xfId="0" applyNumberFormat="1" applyFont="1" applyFill="1" applyBorder="1" applyAlignment="1">
      <alignment horizontal="center" vertical="center"/>
    </xf>
    <xf numFmtId="1" fontId="12" fillId="0" borderId="10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vertical="center"/>
    </xf>
    <xf numFmtId="1" fontId="7" fillId="0" borderId="13" xfId="0" applyNumberFormat="1" applyFont="1" applyFill="1" applyBorder="1" applyAlignment="1">
      <alignment horizontal="center" vertical="center" wrapText="1"/>
    </xf>
    <xf numFmtId="1" fontId="7" fillId="0" borderId="13" xfId="0" applyNumberFormat="1" applyFont="1" applyFill="1" applyBorder="1" applyAlignment="1">
      <alignment horizontal="center" vertical="center"/>
    </xf>
    <xf numFmtId="1" fontId="8" fillId="0" borderId="13" xfId="0" applyNumberFormat="1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vertical="center"/>
    </xf>
    <xf numFmtId="1" fontId="0" fillId="0" borderId="1" xfId="0" applyNumberFormat="1" applyBorder="1"/>
    <xf numFmtId="1" fontId="0" fillId="0" borderId="0" xfId="0" applyNumberFormat="1" applyBorder="1"/>
    <xf numFmtId="1" fontId="4" fillId="0" borderId="1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49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6" fillId="0" borderId="1" xfId="0" quotePrefix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16" fillId="0" borderId="10" xfId="0" quotePrefix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49" fontId="5" fillId="0" borderId="14" xfId="0" quotePrefix="1" applyNumberFormat="1" applyFont="1" applyFill="1" applyBorder="1" applyAlignment="1">
      <alignment horizontal="center" vertical="center" wrapText="1"/>
    </xf>
    <xf numFmtId="49" fontId="5" fillId="0" borderId="14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16" fillId="0" borderId="14" xfId="0" quotePrefix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6" fillId="0" borderId="13" xfId="0" quotePrefix="1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5" fillId="0" borderId="0" xfId="0" quotePrefix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/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7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textRotation="90"/>
    </xf>
    <xf numFmtId="0" fontId="3" fillId="3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" fontId="6" fillId="0" borderId="10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quotePrefix="1" applyFont="1" applyFill="1" applyBorder="1" applyAlignment="1">
      <alignment horizontal="center" vertical="center"/>
    </xf>
    <xf numFmtId="1" fontId="6" fillId="0" borderId="9" xfId="0" applyNumberFormat="1" applyFont="1" applyFill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49" fontId="5" fillId="0" borderId="12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" fontId="6" fillId="0" borderId="6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quotePrefix="1" applyFont="1" applyFill="1" applyBorder="1" applyAlignment="1">
      <alignment horizontal="center" vertical="center"/>
    </xf>
    <xf numFmtId="1" fontId="6" fillId="0" borderId="13" xfId="0" applyNumberFormat="1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0" fillId="0" borderId="10" xfId="0" applyBorder="1"/>
    <xf numFmtId="49" fontId="4" fillId="0" borderId="13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/>
    </xf>
    <xf numFmtId="2" fontId="10" fillId="0" borderId="7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13" xfId="0" applyBorder="1"/>
    <xf numFmtId="2" fontId="4" fillId="0" borderId="1" xfId="0" applyNumberFormat="1" applyFont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6" fillId="0" borderId="10" xfId="0" quotePrefix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4" fillId="0" borderId="13" xfId="0" applyNumberFormat="1" applyFont="1" applyFill="1" applyBorder="1" applyAlignment="1">
      <alignment horizontal="center" vertical="center"/>
    </xf>
    <xf numFmtId="1" fontId="5" fillId="0" borderId="11" xfId="0" applyNumberFormat="1" applyFont="1" applyFill="1" applyBorder="1" applyAlignment="1">
      <alignment horizontal="center" vertical="center"/>
    </xf>
    <xf numFmtId="1" fontId="5" fillId="0" borderId="9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 wrapText="1"/>
    </xf>
    <xf numFmtId="1" fontId="5" fillId="0" borderId="10" xfId="0" applyNumberFormat="1" applyFont="1" applyFill="1" applyBorder="1" applyAlignment="1">
      <alignment horizontal="center" vertical="center" wrapText="1"/>
    </xf>
    <xf numFmtId="49" fontId="4" fillId="0" borderId="11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 wrapText="1"/>
    </xf>
    <xf numFmtId="1" fontId="4" fillId="0" borderId="13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13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6" xfId="0" quotePrefix="1" applyNumberFormat="1" applyFont="1" applyFill="1" applyBorder="1" applyAlignment="1">
      <alignment horizontal="center" vertical="center" wrapText="1"/>
    </xf>
    <xf numFmtId="49" fontId="5" fillId="0" borderId="7" xfId="0" quotePrefix="1" applyNumberFormat="1" applyFont="1" applyFill="1" applyBorder="1" applyAlignment="1">
      <alignment horizontal="center" vertical="center" wrapText="1"/>
    </xf>
    <xf numFmtId="49" fontId="5" fillId="0" borderId="13" xfId="0" quotePrefix="1" applyNumberFormat="1" applyFont="1" applyFill="1" applyBorder="1" applyAlignment="1">
      <alignment horizontal="center" vertical="center" wrapText="1"/>
    </xf>
    <xf numFmtId="1" fontId="5" fillId="0" borderId="6" xfId="0" quotePrefix="1" applyNumberFormat="1" applyFont="1" applyFill="1" applyBorder="1" applyAlignment="1">
      <alignment horizontal="center" vertical="center" wrapText="1"/>
    </xf>
    <xf numFmtId="1" fontId="5" fillId="0" borderId="7" xfId="0" quotePrefix="1" applyNumberFormat="1" applyFont="1" applyFill="1" applyBorder="1" applyAlignment="1">
      <alignment horizontal="center" vertical="center" wrapText="1"/>
    </xf>
    <xf numFmtId="1" fontId="5" fillId="0" borderId="13" xfId="0" quotePrefix="1" applyNumberFormat="1" applyFont="1" applyFill="1" applyBorder="1" applyAlignment="1">
      <alignment horizontal="center" vertical="center" wrapText="1"/>
    </xf>
    <xf numFmtId="49" fontId="5" fillId="0" borderId="1" xfId="0" quotePrefix="1" applyNumberFormat="1" applyFont="1" applyFill="1" applyBorder="1" applyAlignment="1">
      <alignment horizontal="center" vertical="center" wrapText="1"/>
    </xf>
    <xf numFmtId="49" fontId="5" fillId="0" borderId="10" xfId="0" quotePrefix="1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5" fillId="0" borderId="1" xfId="0" quotePrefix="1" applyNumberFormat="1" applyFont="1" applyFill="1" applyBorder="1" applyAlignment="1">
      <alignment horizontal="center" vertical="center" wrapText="1"/>
    </xf>
    <xf numFmtId="1" fontId="5" fillId="0" borderId="1" xfId="0" quotePrefix="1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center" vertical="center" wrapText="1"/>
    </xf>
    <xf numFmtId="49" fontId="7" fillId="0" borderId="13" xfId="0" applyNumberFormat="1" applyFont="1" applyFill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1" fontId="7" fillId="0" borderId="13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horizontal="center" vertical="center" wrapText="1"/>
    </xf>
    <xf numFmtId="1" fontId="4" fillId="0" borderId="6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26</xdr:row>
      <xdr:rowOff>47625</xdr:rowOff>
    </xdr:from>
    <xdr:to>
      <xdr:col>14</xdr:col>
      <xdr:colOff>387175</xdr:colOff>
      <xdr:row>30</xdr:row>
      <xdr:rowOff>136251</xdr:rowOff>
    </xdr:to>
    <xdr:grpSp>
      <xdr:nvGrpSpPr>
        <xdr:cNvPr id="13" name="Group 12"/>
        <xdr:cNvGrpSpPr/>
      </xdr:nvGrpSpPr>
      <xdr:grpSpPr>
        <a:xfrm>
          <a:off x="47625" y="5153025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32</xdr:row>
      <xdr:rowOff>0</xdr:rowOff>
    </xdr:from>
    <xdr:to>
      <xdr:col>16</xdr:col>
      <xdr:colOff>139700</xdr:colOff>
      <xdr:row>35</xdr:row>
      <xdr:rowOff>132132</xdr:rowOff>
    </xdr:to>
    <xdr:grpSp>
      <xdr:nvGrpSpPr>
        <xdr:cNvPr id="22" name="Group 21"/>
        <xdr:cNvGrpSpPr/>
      </xdr:nvGrpSpPr>
      <xdr:grpSpPr>
        <a:xfrm>
          <a:off x="0" y="6248400"/>
          <a:ext cx="8302625" cy="703632"/>
          <a:chOff x="0" y="8279"/>
          <a:chExt cx="830262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7</a:t>
            </a:r>
            <a:endParaRPr lang="en-US" sz="105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57</xdr:row>
      <xdr:rowOff>66675</xdr:rowOff>
    </xdr:from>
    <xdr:to>
      <xdr:col>14</xdr:col>
      <xdr:colOff>387175</xdr:colOff>
      <xdr:row>61</xdr:row>
      <xdr:rowOff>155301</xdr:rowOff>
    </xdr:to>
    <xdr:grpSp>
      <xdr:nvGrpSpPr>
        <xdr:cNvPr id="33" name="Group 32"/>
        <xdr:cNvGrpSpPr/>
      </xdr:nvGrpSpPr>
      <xdr:grpSpPr>
        <a:xfrm>
          <a:off x="47625" y="11039475"/>
          <a:ext cx="7692850" cy="850626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ثابت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18</xdr:row>
      <xdr:rowOff>123825</xdr:rowOff>
    </xdr:from>
    <xdr:to>
      <xdr:col>14</xdr:col>
      <xdr:colOff>387175</xdr:colOff>
      <xdr:row>23</xdr:row>
      <xdr:rowOff>21951</xdr:rowOff>
    </xdr:to>
    <xdr:grpSp>
      <xdr:nvGrpSpPr>
        <xdr:cNvPr id="13" name="Group 12"/>
        <xdr:cNvGrpSpPr/>
      </xdr:nvGrpSpPr>
      <xdr:grpSpPr>
        <a:xfrm>
          <a:off x="47625" y="3771900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76200</xdr:colOff>
      <xdr:row>23</xdr:row>
      <xdr:rowOff>85725</xdr:rowOff>
    </xdr:from>
    <xdr:to>
      <xdr:col>15</xdr:col>
      <xdr:colOff>6175</xdr:colOff>
      <xdr:row>27</xdr:row>
      <xdr:rowOff>174351</xdr:rowOff>
    </xdr:to>
    <xdr:grpSp>
      <xdr:nvGrpSpPr>
        <xdr:cNvPr id="13" name="Group 12"/>
        <xdr:cNvGrpSpPr/>
      </xdr:nvGrpSpPr>
      <xdr:grpSpPr>
        <a:xfrm>
          <a:off x="76200" y="4981575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30</xdr:row>
      <xdr:rowOff>0</xdr:rowOff>
    </xdr:from>
    <xdr:to>
      <xdr:col>16</xdr:col>
      <xdr:colOff>139700</xdr:colOff>
      <xdr:row>33</xdr:row>
      <xdr:rowOff>132132</xdr:rowOff>
    </xdr:to>
    <xdr:grpSp>
      <xdr:nvGrpSpPr>
        <xdr:cNvPr id="22" name="Group 21"/>
        <xdr:cNvGrpSpPr/>
      </xdr:nvGrpSpPr>
      <xdr:grpSpPr>
        <a:xfrm>
          <a:off x="0" y="6229350"/>
          <a:ext cx="8302625" cy="703632"/>
          <a:chOff x="0" y="8279"/>
          <a:chExt cx="830262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5 of 7</a:t>
            </a:r>
            <a:endParaRPr lang="en-US" sz="105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49</xdr:row>
      <xdr:rowOff>104775</xdr:rowOff>
    </xdr:from>
    <xdr:to>
      <xdr:col>14</xdr:col>
      <xdr:colOff>377650</xdr:colOff>
      <xdr:row>54</xdr:row>
      <xdr:rowOff>2901</xdr:rowOff>
    </xdr:to>
    <xdr:grpSp>
      <xdr:nvGrpSpPr>
        <xdr:cNvPr id="33" name="Group 32"/>
        <xdr:cNvGrpSpPr/>
      </xdr:nvGrpSpPr>
      <xdr:grpSpPr>
        <a:xfrm>
          <a:off x="38100" y="10334625"/>
          <a:ext cx="7692850" cy="850626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قاب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6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24</xdr:row>
      <xdr:rowOff>66675</xdr:rowOff>
    </xdr:from>
    <xdr:to>
      <xdr:col>14</xdr:col>
      <xdr:colOff>377650</xdr:colOff>
      <xdr:row>28</xdr:row>
      <xdr:rowOff>155301</xdr:rowOff>
    </xdr:to>
    <xdr:grpSp>
      <xdr:nvGrpSpPr>
        <xdr:cNvPr id="13" name="Group 12"/>
        <xdr:cNvGrpSpPr/>
      </xdr:nvGrpSpPr>
      <xdr:grpSpPr>
        <a:xfrm>
          <a:off x="38100" y="4867275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سیستم</a:t>
            </a:r>
            <a:r>
              <a:rPr lang="fa-IR" sz="1100" baseline="0">
                <a:cs typeface="B Nazanin" panose="00000400000000000000" pitchFamily="2" charset="-78"/>
              </a:rPr>
              <a:t> محرک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7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133350</xdr:colOff>
      <xdr:row>27</xdr:row>
      <xdr:rowOff>123825</xdr:rowOff>
    </xdr:from>
    <xdr:to>
      <xdr:col>15</xdr:col>
      <xdr:colOff>63325</xdr:colOff>
      <xdr:row>32</xdr:row>
      <xdr:rowOff>21951</xdr:rowOff>
    </xdr:to>
    <xdr:grpSp>
      <xdr:nvGrpSpPr>
        <xdr:cNvPr id="13" name="Group 12"/>
        <xdr:cNvGrpSpPr/>
      </xdr:nvGrpSpPr>
      <xdr:grpSpPr>
        <a:xfrm>
          <a:off x="133350" y="5238750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73"/>
  <sheetViews>
    <sheetView view="pageLayout" topLeftCell="A13" zoomScaleNormal="100" workbookViewId="0">
      <selection activeCell="M20" sqref="M20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9" ht="12" customHeight="1" x14ac:dyDescent="0.25"/>
    <row r="5" spans="1:29" ht="5.25" customHeight="1" x14ac:dyDescent="0.25"/>
    <row r="6" spans="1:29" ht="19.5" x14ac:dyDescent="0.25">
      <c r="A6" s="186" t="s">
        <v>0</v>
      </c>
      <c r="B6" s="187"/>
      <c r="C6" s="187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9" ht="48.9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9" ht="14.25" customHeight="1" x14ac:dyDescent="0.25">
      <c r="A8" s="188" t="s">
        <v>20</v>
      </c>
      <c r="B8" s="191">
        <v>15</v>
      </c>
      <c r="C8" s="191">
        <v>2</v>
      </c>
      <c r="D8" s="188" t="s">
        <v>21</v>
      </c>
      <c r="E8" s="193">
        <v>5100</v>
      </c>
      <c r="F8" s="205" t="s">
        <v>22</v>
      </c>
      <c r="G8" s="191">
        <f>C8*F8</f>
        <v>2</v>
      </c>
      <c r="H8" s="191" t="s">
        <v>23</v>
      </c>
      <c r="I8" s="208" t="s">
        <v>24</v>
      </c>
      <c r="J8" s="210" t="str">
        <f>IF((AND(B8=30,E8=3400)),"12",IF((AND(B8=25,E8=3400)),"10",IF((AND(B8=20,E8=3400)),"8",IF((AND(B8=15,E8=3400)),"6",IF((AND(B8=30,E8=5100)),"18",IF((AND(B8=25,E8=5100)),"15",IF((AND(B8=20,E8=5100)),"12",IF((AND(B8=15,E8=5100)),"9"))))))))</f>
        <v>9</v>
      </c>
      <c r="K8" s="191">
        <f>J8*G8</f>
        <v>18</v>
      </c>
      <c r="L8" s="14" t="s">
        <v>22</v>
      </c>
      <c r="M8" s="15" t="s">
        <v>25</v>
      </c>
      <c r="N8" s="16" t="s">
        <v>26</v>
      </c>
      <c r="O8" s="17">
        <f>2*$J$8</f>
        <v>18</v>
      </c>
      <c r="P8" s="17">
        <f>O8*$F$8</f>
        <v>18</v>
      </c>
      <c r="Q8" s="17">
        <f>P8*$C$8</f>
        <v>36</v>
      </c>
      <c r="R8" s="17">
        <f>7*$Q$8</f>
        <v>252</v>
      </c>
      <c r="S8" s="18" t="s">
        <v>27</v>
      </c>
      <c r="T8" s="19"/>
    </row>
    <row r="9" spans="1:29" ht="14.25" customHeight="1" x14ac:dyDescent="0.25">
      <c r="A9" s="189"/>
      <c r="B9" s="184"/>
      <c r="C9" s="184"/>
      <c r="D9" s="189"/>
      <c r="E9" s="194"/>
      <c r="F9" s="206"/>
      <c r="G9" s="184"/>
      <c r="H9" s="184"/>
      <c r="I9" s="208"/>
      <c r="J9" s="211"/>
      <c r="K9" s="184"/>
      <c r="L9" s="14" t="s">
        <v>28</v>
      </c>
      <c r="M9" s="15" t="s">
        <v>29</v>
      </c>
      <c r="N9" s="20" t="s">
        <v>30</v>
      </c>
      <c r="O9" s="17">
        <f t="shared" ref="O9:O10" si="0">2*$J$8</f>
        <v>18</v>
      </c>
      <c r="P9" s="17">
        <f t="shared" ref="P9:P26" si="1">O9*$F$8</f>
        <v>18</v>
      </c>
      <c r="Q9" s="17">
        <f t="shared" ref="Q9:Q26" si="2">P9*$C$8</f>
        <v>36</v>
      </c>
      <c r="R9" s="20">
        <f>7.2*Q9</f>
        <v>259.2</v>
      </c>
      <c r="S9" s="18" t="s">
        <v>27</v>
      </c>
      <c r="T9" s="21"/>
    </row>
    <row r="10" spans="1:29" ht="14.25" customHeight="1" x14ac:dyDescent="0.25">
      <c r="A10" s="189"/>
      <c r="B10" s="184"/>
      <c r="C10" s="184"/>
      <c r="D10" s="189"/>
      <c r="E10" s="194"/>
      <c r="F10" s="206"/>
      <c r="G10" s="184"/>
      <c r="H10" s="184"/>
      <c r="I10" s="208"/>
      <c r="J10" s="211"/>
      <c r="K10" s="184"/>
      <c r="L10" s="14" t="s">
        <v>31</v>
      </c>
      <c r="M10" s="15" t="s">
        <v>32</v>
      </c>
      <c r="N10" s="16" t="s">
        <v>33</v>
      </c>
      <c r="O10" s="17">
        <f t="shared" si="0"/>
        <v>18</v>
      </c>
      <c r="P10" s="17">
        <f t="shared" si="1"/>
        <v>18</v>
      </c>
      <c r="Q10" s="17">
        <f t="shared" si="2"/>
        <v>36</v>
      </c>
      <c r="R10" s="17">
        <f>3.6*Q10</f>
        <v>129.6</v>
      </c>
      <c r="S10" s="18" t="s">
        <v>27</v>
      </c>
      <c r="T10" s="21"/>
    </row>
    <row r="11" spans="1:29" ht="14.25" customHeight="1" thickBot="1" x14ac:dyDescent="0.3">
      <c r="A11" s="189"/>
      <c r="B11" s="184"/>
      <c r="C11" s="184"/>
      <c r="D11" s="189"/>
      <c r="E11" s="194"/>
      <c r="F11" s="206"/>
      <c r="G11" s="184"/>
      <c r="H11" s="185"/>
      <c r="I11" s="209"/>
      <c r="J11" s="212"/>
      <c r="K11" s="185"/>
      <c r="L11" s="22" t="s">
        <v>34</v>
      </c>
      <c r="M11" s="23" t="s">
        <v>35</v>
      </c>
      <c r="N11" s="24" t="s">
        <v>36</v>
      </c>
      <c r="O11" s="25" t="str">
        <f>$J$8</f>
        <v>9</v>
      </c>
      <c r="P11" s="25">
        <f t="shared" si="1"/>
        <v>9</v>
      </c>
      <c r="Q11" s="25">
        <f t="shared" si="2"/>
        <v>18</v>
      </c>
      <c r="R11" s="25">
        <f>1.9*Q11</f>
        <v>34.199999999999996</v>
      </c>
      <c r="S11" s="26" t="s">
        <v>27</v>
      </c>
      <c r="T11" s="27"/>
    </row>
    <row r="12" spans="1:29" ht="14.25" customHeight="1" x14ac:dyDescent="0.25">
      <c r="A12" s="189"/>
      <c r="B12" s="184"/>
      <c r="C12" s="184"/>
      <c r="D12" s="189"/>
      <c r="E12" s="194"/>
      <c r="F12" s="206"/>
      <c r="G12" s="184"/>
      <c r="H12" s="183" t="s">
        <v>37</v>
      </c>
      <c r="I12" s="180" t="s">
        <v>38</v>
      </c>
      <c r="J12" s="183">
        <v>2</v>
      </c>
      <c r="K12" s="183">
        <f>J12*G8</f>
        <v>4</v>
      </c>
      <c r="L12" s="28">
        <v>1</v>
      </c>
      <c r="M12" s="29" t="s">
        <v>39</v>
      </c>
      <c r="N12" s="30" t="s">
        <v>40</v>
      </c>
      <c r="O12" s="31">
        <v>1</v>
      </c>
      <c r="P12" s="31">
        <f t="shared" si="1"/>
        <v>1</v>
      </c>
      <c r="Q12" s="32">
        <f t="shared" si="2"/>
        <v>2</v>
      </c>
      <c r="R12" s="32">
        <f>Q12*5.7</f>
        <v>11.4</v>
      </c>
      <c r="S12" s="33" t="s">
        <v>27</v>
      </c>
      <c r="T12" s="34"/>
      <c r="U12" s="35"/>
      <c r="V12" s="36"/>
      <c r="W12" s="37"/>
      <c r="X12" s="36"/>
      <c r="Y12" s="36"/>
      <c r="Z12" s="36"/>
      <c r="AA12" s="36"/>
      <c r="AB12" s="36"/>
      <c r="AC12" s="38"/>
    </row>
    <row r="13" spans="1:29" ht="14.25" customHeight="1" x14ac:dyDescent="0.25">
      <c r="A13" s="189"/>
      <c r="B13" s="184"/>
      <c r="C13" s="184"/>
      <c r="D13" s="189"/>
      <c r="E13" s="194"/>
      <c r="F13" s="206"/>
      <c r="G13" s="184"/>
      <c r="H13" s="184"/>
      <c r="I13" s="181"/>
      <c r="J13" s="184"/>
      <c r="K13" s="184"/>
      <c r="L13" s="14">
        <v>2</v>
      </c>
      <c r="M13" s="15" t="s">
        <v>41</v>
      </c>
      <c r="N13" s="39" t="s">
        <v>42</v>
      </c>
      <c r="O13" s="17">
        <v>1</v>
      </c>
      <c r="P13" s="17">
        <f t="shared" si="1"/>
        <v>1</v>
      </c>
      <c r="Q13" s="40">
        <f t="shared" si="2"/>
        <v>2</v>
      </c>
      <c r="R13" s="40">
        <f>Q13*6.6</f>
        <v>13.2</v>
      </c>
      <c r="S13" s="18" t="s">
        <v>27</v>
      </c>
      <c r="T13" s="21"/>
      <c r="U13" s="35"/>
      <c r="V13" s="36"/>
      <c r="W13" s="37"/>
      <c r="X13" s="36"/>
      <c r="Y13" s="36"/>
      <c r="Z13" s="41"/>
      <c r="AA13" s="41"/>
      <c r="AB13" s="41"/>
      <c r="AC13" s="38"/>
    </row>
    <row r="14" spans="1:29" ht="14.25" customHeight="1" x14ac:dyDescent="0.25">
      <c r="A14" s="189"/>
      <c r="B14" s="184"/>
      <c r="C14" s="184"/>
      <c r="D14" s="189"/>
      <c r="E14" s="194"/>
      <c r="F14" s="206"/>
      <c r="G14" s="184"/>
      <c r="H14" s="184"/>
      <c r="I14" s="181"/>
      <c r="J14" s="184"/>
      <c r="K14" s="184"/>
      <c r="L14" s="14">
        <v>3</v>
      </c>
      <c r="M14" s="42" t="s">
        <v>43</v>
      </c>
      <c r="N14" s="16" t="s">
        <v>44</v>
      </c>
      <c r="O14" s="16">
        <f>4</f>
        <v>4</v>
      </c>
      <c r="P14" s="16">
        <f t="shared" si="1"/>
        <v>4</v>
      </c>
      <c r="Q14" s="40">
        <f t="shared" si="2"/>
        <v>8</v>
      </c>
      <c r="R14" s="40">
        <f>7.5*Q14</f>
        <v>60</v>
      </c>
      <c r="S14" s="18" t="s">
        <v>27</v>
      </c>
      <c r="T14" s="21"/>
      <c r="U14" s="43"/>
      <c r="V14" s="43"/>
      <c r="W14" s="43"/>
      <c r="X14" s="43"/>
      <c r="Y14" s="43"/>
      <c r="Z14" s="43"/>
      <c r="AA14" s="43"/>
      <c r="AB14" s="43"/>
      <c r="AC14" s="43"/>
    </row>
    <row r="15" spans="1:29" ht="14.25" customHeight="1" thickBot="1" x14ac:dyDescent="0.3">
      <c r="A15" s="189"/>
      <c r="B15" s="184"/>
      <c r="C15" s="184"/>
      <c r="D15" s="189"/>
      <c r="E15" s="194"/>
      <c r="F15" s="206"/>
      <c r="G15" s="184"/>
      <c r="H15" s="185"/>
      <c r="I15" s="182"/>
      <c r="J15" s="185"/>
      <c r="K15" s="185"/>
      <c r="L15" s="22">
        <v>4</v>
      </c>
      <c r="M15" s="44" t="s">
        <v>45</v>
      </c>
      <c r="N15" s="45" t="s">
        <v>46</v>
      </c>
      <c r="O15" s="46" t="str">
        <f>IF(B8=30,"6",IF(B8=25,"5",IF(B8=20,"4",IF(B8=15,"3"))))</f>
        <v>3</v>
      </c>
      <c r="P15" s="47">
        <f t="shared" si="1"/>
        <v>3</v>
      </c>
      <c r="Q15" s="48">
        <f t="shared" si="2"/>
        <v>6</v>
      </c>
      <c r="R15" s="48">
        <f>Q15*0.52</f>
        <v>3.12</v>
      </c>
      <c r="S15" s="26" t="s">
        <v>27</v>
      </c>
      <c r="T15" s="27"/>
      <c r="U15" s="43"/>
      <c r="V15" s="43"/>
      <c r="W15" s="43"/>
      <c r="X15" s="43"/>
      <c r="Y15" s="43"/>
      <c r="Z15" s="43"/>
      <c r="AA15" s="43"/>
      <c r="AB15" s="43"/>
      <c r="AC15" s="43"/>
    </row>
    <row r="16" spans="1:29" ht="14.25" customHeight="1" x14ac:dyDescent="0.25">
      <c r="A16" s="189"/>
      <c r="B16" s="184"/>
      <c r="C16" s="184"/>
      <c r="D16" s="189"/>
      <c r="E16" s="194"/>
      <c r="F16" s="206"/>
      <c r="G16" s="184"/>
      <c r="H16" s="199" t="s">
        <v>21</v>
      </c>
      <c r="I16" s="201" t="s">
        <v>47</v>
      </c>
      <c r="J16" s="199">
        <v>1</v>
      </c>
      <c r="K16" s="199">
        <f>J16*G8</f>
        <v>2</v>
      </c>
      <c r="L16" s="49">
        <v>1</v>
      </c>
      <c r="M16" s="50" t="s">
        <v>48</v>
      </c>
      <c r="N16" s="51" t="str">
        <f>IF(B8=30,"UPN40,L=6600",IF(B8=20,"UPN40,L=4600",IF(B8=25,"UPN40,L=5600",IF(B8=15,"UPN40,L=3600"))))</f>
        <v>UPN40,L=3600</v>
      </c>
      <c r="O16" s="52">
        <v>1</v>
      </c>
      <c r="P16" s="52">
        <f t="shared" si="1"/>
        <v>1</v>
      </c>
      <c r="Q16" s="53">
        <f t="shared" si="2"/>
        <v>2</v>
      </c>
      <c r="R16" s="54">
        <f>(IF(B8=30,"12.4",IF(B8=20,"8.7",IF(B8=25,"10.6",IF(B8=15,"6.8")))))*Q16</f>
        <v>13.6</v>
      </c>
      <c r="S16" s="55" t="s">
        <v>27</v>
      </c>
      <c r="T16" s="56"/>
      <c r="U16" s="43"/>
      <c r="V16" s="43"/>
      <c r="W16" s="43"/>
      <c r="X16" s="43"/>
      <c r="Y16" s="43"/>
      <c r="Z16" s="43"/>
      <c r="AA16" s="43"/>
      <c r="AB16" s="43"/>
      <c r="AC16" s="43"/>
    </row>
    <row r="17" spans="1:29" ht="14.25" customHeight="1" thickBot="1" x14ac:dyDescent="0.3">
      <c r="A17" s="189"/>
      <c r="B17" s="184"/>
      <c r="C17" s="184"/>
      <c r="D17" s="189"/>
      <c r="E17" s="194"/>
      <c r="F17" s="206"/>
      <c r="G17" s="184"/>
      <c r="H17" s="200"/>
      <c r="I17" s="202"/>
      <c r="J17" s="200"/>
      <c r="K17" s="200"/>
      <c r="L17" s="22">
        <v>2</v>
      </c>
      <c r="M17" s="23" t="s">
        <v>49</v>
      </c>
      <c r="N17" s="24" t="s">
        <v>50</v>
      </c>
      <c r="O17" s="25">
        <v>6</v>
      </c>
      <c r="P17" s="25">
        <f t="shared" si="1"/>
        <v>6</v>
      </c>
      <c r="Q17" s="48">
        <f t="shared" si="2"/>
        <v>12</v>
      </c>
      <c r="R17" s="48">
        <f>0.1*Q17</f>
        <v>1.2000000000000002</v>
      </c>
      <c r="S17" s="26" t="s">
        <v>27</v>
      </c>
      <c r="T17" s="27"/>
      <c r="U17" s="43"/>
      <c r="V17" s="43"/>
      <c r="W17" s="43"/>
      <c r="X17" s="43"/>
      <c r="Y17" s="43"/>
      <c r="Z17" s="43"/>
      <c r="AA17" s="43"/>
      <c r="AB17" s="43"/>
      <c r="AC17" s="43"/>
    </row>
    <row r="18" spans="1:29" ht="14.25" customHeight="1" x14ac:dyDescent="0.25">
      <c r="A18" s="189"/>
      <c r="B18" s="184"/>
      <c r="C18" s="184"/>
      <c r="D18" s="189"/>
      <c r="E18" s="194"/>
      <c r="F18" s="206"/>
      <c r="G18" s="184"/>
      <c r="H18" s="203" t="s">
        <v>20</v>
      </c>
      <c r="I18" s="183" t="s">
        <v>51</v>
      </c>
      <c r="J18" s="183" t="str">
        <f>J8</f>
        <v>9</v>
      </c>
      <c r="K18" s="183">
        <f>J18*G8</f>
        <v>18</v>
      </c>
      <c r="L18" s="28">
        <v>1</v>
      </c>
      <c r="M18" s="29" t="s">
        <v>52</v>
      </c>
      <c r="N18" s="57" t="s">
        <v>53</v>
      </c>
      <c r="O18" s="31" t="str">
        <f>J18</f>
        <v>9</v>
      </c>
      <c r="P18" s="31">
        <f t="shared" si="1"/>
        <v>9</v>
      </c>
      <c r="Q18" s="31">
        <f t="shared" si="2"/>
        <v>18</v>
      </c>
      <c r="R18" s="31">
        <f>Q18</f>
        <v>18</v>
      </c>
      <c r="S18" s="33" t="s">
        <v>54</v>
      </c>
      <c r="T18" s="34"/>
      <c r="U18" s="35"/>
      <c r="V18" s="37"/>
      <c r="W18" s="37"/>
      <c r="X18" s="58"/>
      <c r="Y18" s="58"/>
      <c r="Z18" s="41"/>
      <c r="AA18" s="41"/>
      <c r="AB18" s="41"/>
      <c r="AC18" s="38"/>
    </row>
    <row r="19" spans="1:29" ht="14.25" customHeight="1" thickBot="1" x14ac:dyDescent="0.3">
      <c r="A19" s="189"/>
      <c r="B19" s="184"/>
      <c r="C19" s="184"/>
      <c r="D19" s="189"/>
      <c r="E19" s="194"/>
      <c r="F19" s="206"/>
      <c r="G19" s="184"/>
      <c r="H19" s="204"/>
      <c r="I19" s="185"/>
      <c r="J19" s="185"/>
      <c r="K19" s="185"/>
      <c r="L19" s="22">
        <v>2</v>
      </c>
      <c r="M19" s="23" t="s">
        <v>55</v>
      </c>
      <c r="N19" s="24" t="s">
        <v>56</v>
      </c>
      <c r="O19" s="25" t="str">
        <f>O18</f>
        <v>9</v>
      </c>
      <c r="P19" s="25">
        <f t="shared" si="1"/>
        <v>9</v>
      </c>
      <c r="Q19" s="25">
        <f t="shared" si="2"/>
        <v>18</v>
      </c>
      <c r="R19" s="25">
        <f>0.8*Q19</f>
        <v>14.4</v>
      </c>
      <c r="S19" s="26" t="s">
        <v>27</v>
      </c>
      <c r="T19" s="27"/>
      <c r="U19" s="35"/>
      <c r="V19" s="36"/>
      <c r="W19" s="37"/>
      <c r="X19" s="36"/>
      <c r="Y19" s="36"/>
      <c r="Z19" s="41"/>
      <c r="AA19" s="41"/>
      <c r="AB19" s="41"/>
      <c r="AC19" s="38"/>
    </row>
    <row r="20" spans="1:29" ht="15" customHeight="1" x14ac:dyDescent="0.25">
      <c r="A20" s="189"/>
      <c r="B20" s="184"/>
      <c r="C20" s="184"/>
      <c r="D20" s="189"/>
      <c r="E20" s="194"/>
      <c r="F20" s="206"/>
      <c r="G20" s="184"/>
      <c r="H20" s="203" t="s">
        <v>57</v>
      </c>
      <c r="I20" s="183" t="s">
        <v>58</v>
      </c>
      <c r="J20" s="183" t="str">
        <f>IF(B8=30,"12",IF(B8=25,"10",IF(B8=20,"8",IF(B8=15,"6"))))</f>
        <v>6</v>
      </c>
      <c r="K20" s="183">
        <f>G8*J20</f>
        <v>12</v>
      </c>
      <c r="L20" s="28">
        <v>1</v>
      </c>
      <c r="M20" s="29" t="s">
        <v>59</v>
      </c>
      <c r="N20" s="59" t="str">
        <f>IF(B8=30,"4x162x1415",IF(B8=25,"4x162x1165",IF(B8=20,"4x162x915",IF(B8=15,"4x162x665"))))</f>
        <v>4x162x665</v>
      </c>
      <c r="O20" s="31">
        <f t="shared" ref="O20" si="3">2*$J$8</f>
        <v>18</v>
      </c>
      <c r="P20" s="31">
        <f t="shared" si="1"/>
        <v>18</v>
      </c>
      <c r="Q20" s="31">
        <f t="shared" si="2"/>
        <v>36</v>
      </c>
      <c r="R20" s="59">
        <f>(IF(B8=30,"7.2",IF(B8=25,"5.9",IF(B8=20,"4.6",IF(B8=15,"3.3")))))*Q20</f>
        <v>118.8</v>
      </c>
      <c r="S20" s="33" t="s">
        <v>27</v>
      </c>
      <c r="T20" s="34"/>
      <c r="U20" s="43"/>
      <c r="V20" s="43"/>
      <c r="W20" s="43"/>
      <c r="X20" s="43"/>
      <c r="Y20" s="43"/>
      <c r="Z20" s="43"/>
      <c r="AA20" s="43"/>
      <c r="AB20" s="43"/>
      <c r="AC20" s="43"/>
    </row>
    <row r="21" spans="1:29" ht="14.25" customHeight="1" thickBot="1" x14ac:dyDescent="0.3">
      <c r="A21" s="189"/>
      <c r="B21" s="184"/>
      <c r="C21" s="184"/>
      <c r="D21" s="189"/>
      <c r="E21" s="194"/>
      <c r="F21" s="206"/>
      <c r="G21" s="184"/>
      <c r="H21" s="204"/>
      <c r="I21" s="185"/>
      <c r="J21" s="185"/>
      <c r="K21" s="185"/>
      <c r="L21" s="22">
        <v>2</v>
      </c>
      <c r="M21" s="23" t="s">
        <v>60</v>
      </c>
      <c r="N21" s="60" t="s">
        <v>61</v>
      </c>
      <c r="O21" s="25">
        <f>2*J20</f>
        <v>12</v>
      </c>
      <c r="P21" s="25">
        <f>O21*F8</f>
        <v>12</v>
      </c>
      <c r="Q21" s="48">
        <f>P21*C8</f>
        <v>24</v>
      </c>
      <c r="R21" s="48">
        <f>0.088*Q21</f>
        <v>2.1120000000000001</v>
      </c>
      <c r="S21" s="26" t="s">
        <v>27</v>
      </c>
      <c r="T21" s="27"/>
      <c r="U21" s="43"/>
      <c r="V21" s="43"/>
      <c r="W21" s="43"/>
      <c r="X21" s="43"/>
      <c r="Y21" s="43"/>
      <c r="Z21" s="43"/>
      <c r="AA21" s="43"/>
      <c r="AB21" s="43"/>
      <c r="AC21" s="43"/>
    </row>
    <row r="22" spans="1:29" ht="14.25" customHeight="1" x14ac:dyDescent="0.25">
      <c r="A22" s="189"/>
      <c r="B22" s="184"/>
      <c r="C22" s="184"/>
      <c r="D22" s="189"/>
      <c r="E22" s="194"/>
      <c r="F22" s="206"/>
      <c r="G22" s="184"/>
      <c r="H22" s="61"/>
      <c r="I22" s="62" t="s">
        <v>62</v>
      </c>
      <c r="J22" s="61"/>
      <c r="K22" s="61"/>
      <c r="L22" s="49">
        <v>1</v>
      </c>
      <c r="M22" s="63" t="s">
        <v>62</v>
      </c>
      <c r="N22" s="64" t="s">
        <v>44</v>
      </c>
      <c r="O22" s="64">
        <f>IF(E8="درام5100",2,0)</f>
        <v>0</v>
      </c>
      <c r="P22" s="65">
        <f>O22*$F$8</f>
        <v>0</v>
      </c>
      <c r="Q22" s="53">
        <f>P22*$C$8</f>
        <v>0</v>
      </c>
      <c r="R22" s="53">
        <f>7.5*Q22</f>
        <v>0</v>
      </c>
      <c r="S22" s="55" t="s">
        <v>27</v>
      </c>
      <c r="T22" s="56"/>
      <c r="U22" s="35"/>
    </row>
    <row r="23" spans="1:29" ht="14.25" customHeight="1" x14ac:dyDescent="0.25">
      <c r="A23" s="189"/>
      <c r="B23" s="184"/>
      <c r="C23" s="184"/>
      <c r="D23" s="189"/>
      <c r="E23" s="194"/>
      <c r="F23" s="206"/>
      <c r="G23" s="184"/>
      <c r="H23" s="66"/>
      <c r="I23" s="15" t="s">
        <v>63</v>
      </c>
      <c r="J23" s="66"/>
      <c r="K23" s="66"/>
      <c r="L23" s="14">
        <v>2</v>
      </c>
      <c r="M23" s="15" t="s">
        <v>63</v>
      </c>
      <c r="N23" s="20" t="str">
        <f>IF(B8=30,"1.5x1000x4000",IF(B8=25,"1.5x1250x2500",IF(B8=20,"1.5x1000x2000",IF(B8=15,"1.5x1000x1500"))))</f>
        <v>1.5x1000x1500</v>
      </c>
      <c r="O23" s="17">
        <v>2</v>
      </c>
      <c r="P23" s="17">
        <f>O23*$F$8</f>
        <v>2</v>
      </c>
      <c r="Q23" s="40">
        <f>P23*$C$8</f>
        <v>4</v>
      </c>
      <c r="R23" s="20">
        <f>(IF(B8=30,"41.6",IF(B8=25,"28.9",IF(B8=20,"18.5",IF(B8=15,"10.4")))))*Q23</f>
        <v>41.6</v>
      </c>
      <c r="S23" s="18" t="s">
        <v>27</v>
      </c>
      <c r="T23" s="21"/>
      <c r="U23" s="35"/>
    </row>
    <row r="24" spans="1:29" ht="14.25" customHeight="1" x14ac:dyDescent="0.25">
      <c r="A24" s="189"/>
      <c r="B24" s="184"/>
      <c r="C24" s="184"/>
      <c r="D24" s="189"/>
      <c r="E24" s="194"/>
      <c r="F24" s="206"/>
      <c r="G24" s="184"/>
      <c r="H24" s="14" t="s">
        <v>64</v>
      </c>
      <c r="I24" s="15" t="s">
        <v>65</v>
      </c>
      <c r="J24" s="14" t="s">
        <v>64</v>
      </c>
      <c r="K24" s="14" t="s">
        <v>64</v>
      </c>
      <c r="L24" s="14">
        <v>3</v>
      </c>
      <c r="M24" s="15" t="s">
        <v>65</v>
      </c>
      <c r="N24" s="16" t="s">
        <v>66</v>
      </c>
      <c r="O24" s="17" t="str">
        <f>IF((AND(B8=30,E8=3400)),"12",IF((AND(B8=25,E8=3400)),"10",IF((AND(B8=20,E8=3400)),"8",IF((AND(B8=15,E8=3400)),"6",IF((AND(B8=30,E8=5100)),"36",IF((AND(B8=25,E8=5100)),"30",IF((AND(B8=20,E8=5100)),"24",IF((AND(B8=15,E8=5100)),"18"))))))))</f>
        <v>18</v>
      </c>
      <c r="P24" s="17">
        <f t="shared" si="1"/>
        <v>18</v>
      </c>
      <c r="Q24" s="40">
        <f t="shared" si="2"/>
        <v>36</v>
      </c>
      <c r="R24" s="40">
        <f>1.3*Q24</f>
        <v>46.800000000000004</v>
      </c>
      <c r="S24" s="18" t="s">
        <v>27</v>
      </c>
      <c r="T24" s="21"/>
      <c r="U24" s="35"/>
      <c r="V24" s="36"/>
      <c r="W24" s="37"/>
      <c r="X24" s="36"/>
      <c r="Y24" s="36"/>
      <c r="Z24" s="36"/>
      <c r="AA24" s="36"/>
      <c r="AB24" s="36"/>
      <c r="AC24" s="38"/>
    </row>
    <row r="25" spans="1:29" ht="14.25" customHeight="1" x14ac:dyDescent="0.25">
      <c r="A25" s="189"/>
      <c r="B25" s="184"/>
      <c r="C25" s="184"/>
      <c r="D25" s="189"/>
      <c r="E25" s="194"/>
      <c r="F25" s="206"/>
      <c r="G25" s="184"/>
      <c r="H25" s="14" t="s">
        <v>64</v>
      </c>
      <c r="I25" s="15" t="s">
        <v>67</v>
      </c>
      <c r="J25" s="14" t="s">
        <v>64</v>
      </c>
      <c r="K25" s="14" t="s">
        <v>64</v>
      </c>
      <c r="L25" s="14">
        <v>4</v>
      </c>
      <c r="M25" s="15" t="s">
        <v>67</v>
      </c>
      <c r="N25" s="16" t="s">
        <v>68</v>
      </c>
      <c r="O25" s="17" t="str">
        <f>IF((AND(B8=30,E8=3400)),"12",IF((AND(B8=25,E8=3400)),"10",IF((AND(B8=20,E8=3400)),"8",IF((AND(B8=15,E8=3400)),"6",IF((AND(B8=30,E8=5100)),"18",IF((AND(B8=25,E8=5100)),"15",IF((AND(B8=20,E8=5100)),"12",IF((AND(B8=15,E8=5100)),"9"))))))))</f>
        <v>9</v>
      </c>
      <c r="P25" s="17">
        <f t="shared" si="1"/>
        <v>9</v>
      </c>
      <c r="Q25" s="17">
        <f t="shared" si="2"/>
        <v>18</v>
      </c>
      <c r="R25" s="17">
        <f>2.6*Q25</f>
        <v>46.800000000000004</v>
      </c>
      <c r="S25" s="18" t="s">
        <v>27</v>
      </c>
      <c r="T25" s="21"/>
      <c r="U25" s="35"/>
      <c r="V25" s="36"/>
      <c r="W25" s="37"/>
      <c r="X25" s="36"/>
      <c r="Y25" s="36"/>
      <c r="Z25" s="36"/>
      <c r="AA25" s="36"/>
      <c r="AB25" s="36"/>
      <c r="AC25" s="38"/>
    </row>
    <row r="26" spans="1:29" ht="14.25" customHeight="1" x14ac:dyDescent="0.25">
      <c r="A26" s="190"/>
      <c r="B26" s="192"/>
      <c r="C26" s="192"/>
      <c r="D26" s="190"/>
      <c r="E26" s="195"/>
      <c r="F26" s="207"/>
      <c r="G26" s="192"/>
      <c r="H26" s="14" t="s">
        <v>64</v>
      </c>
      <c r="I26" s="15" t="s">
        <v>69</v>
      </c>
      <c r="J26" s="14" t="s">
        <v>64</v>
      </c>
      <c r="K26" s="14" t="s">
        <v>64</v>
      </c>
      <c r="L26" s="14">
        <v>5</v>
      </c>
      <c r="M26" s="15" t="s">
        <v>69</v>
      </c>
      <c r="N26" s="20" t="str">
        <f>IF(B8=30,"1x32x9600",IF(B8=25,"1x32x8000",IF(B8=20,"1x32x6500",IF(B8=15,"1x32x5000"))))</f>
        <v>1x32x5000</v>
      </c>
      <c r="O26" s="17">
        <f>IF(E8="درام5100",6,4)</f>
        <v>4</v>
      </c>
      <c r="P26" s="17">
        <f t="shared" si="1"/>
        <v>4</v>
      </c>
      <c r="Q26" s="17">
        <f t="shared" si="2"/>
        <v>8</v>
      </c>
      <c r="R26" s="17">
        <f>(IF(B8=30,"2.4",IF(B8=25,"2",IF(B8=20,"1.6",IF(B8=15,"1.2")))))*Q26</f>
        <v>9.6</v>
      </c>
      <c r="S26" s="15" t="s">
        <v>27</v>
      </c>
      <c r="T26" s="67"/>
      <c r="U26" s="35"/>
      <c r="V26" s="36"/>
      <c r="W26" s="37"/>
      <c r="X26" s="36"/>
      <c r="Y26" s="36"/>
      <c r="Z26" s="36"/>
      <c r="AA26" s="36"/>
      <c r="AB26" s="36"/>
      <c r="AC26" s="68"/>
    </row>
    <row r="27" spans="1:29" x14ac:dyDescent="0.25">
      <c r="U27" s="43"/>
      <c r="V27" s="43"/>
      <c r="W27" s="43"/>
      <c r="X27" s="43"/>
      <c r="Y27" s="43"/>
      <c r="Z27" s="43"/>
      <c r="AA27" s="43"/>
      <c r="AB27" s="43"/>
      <c r="AC27" s="43"/>
    </row>
    <row r="29" spans="1:29" x14ac:dyDescent="0.25">
      <c r="P29" s="255"/>
      <c r="Q29" s="255"/>
      <c r="R29" s="255"/>
      <c r="S29" s="255"/>
    </row>
    <row r="37" spans="1:20" ht="19.5" x14ac:dyDescent="0.25">
      <c r="A37" s="186" t="s">
        <v>0</v>
      </c>
      <c r="B37" s="187"/>
      <c r="C37" s="187"/>
      <c r="D37" s="1"/>
      <c r="E37" s="2"/>
      <c r="F37" s="2" t="s">
        <v>1</v>
      </c>
      <c r="G37" s="3"/>
      <c r="H37" s="2"/>
      <c r="I37" s="2" t="s">
        <v>2</v>
      </c>
      <c r="J37" s="2"/>
      <c r="K37" s="3"/>
      <c r="L37" s="1"/>
      <c r="M37" s="2"/>
      <c r="N37" s="4" t="s">
        <v>3</v>
      </c>
      <c r="O37" s="2"/>
      <c r="P37" s="2"/>
      <c r="Q37" s="2"/>
      <c r="R37" s="5"/>
      <c r="S37" s="5"/>
      <c r="T37" s="6" t="s">
        <v>4</v>
      </c>
    </row>
    <row r="38" spans="1:20" ht="50.25" customHeight="1" x14ac:dyDescent="0.25">
      <c r="A38" s="7" t="s">
        <v>5</v>
      </c>
      <c r="B38" s="7" t="s">
        <v>6</v>
      </c>
      <c r="C38" s="8" t="s">
        <v>7</v>
      </c>
      <c r="D38" s="9" t="s">
        <v>8</v>
      </c>
      <c r="E38" s="10" t="s">
        <v>9</v>
      </c>
      <c r="F38" s="9" t="s">
        <v>10</v>
      </c>
      <c r="G38" s="9" t="s">
        <v>7</v>
      </c>
      <c r="H38" s="8" t="s">
        <v>11</v>
      </c>
      <c r="I38" s="8" t="s">
        <v>9</v>
      </c>
      <c r="J38" s="7" t="s">
        <v>12</v>
      </c>
      <c r="K38" s="8" t="s">
        <v>13</v>
      </c>
      <c r="L38" s="11" t="s">
        <v>14</v>
      </c>
      <c r="M38" s="12" t="s">
        <v>9</v>
      </c>
      <c r="N38" s="12" t="s">
        <v>15</v>
      </c>
      <c r="O38" s="8" t="s">
        <v>16</v>
      </c>
      <c r="P38" s="8" t="s">
        <v>10</v>
      </c>
      <c r="Q38" s="13" t="s">
        <v>7</v>
      </c>
      <c r="R38" s="13" t="s">
        <v>17</v>
      </c>
      <c r="S38" s="13" t="s">
        <v>18</v>
      </c>
      <c r="T38" s="8" t="s">
        <v>19</v>
      </c>
    </row>
    <row r="39" spans="1:20" ht="12.95" customHeight="1" x14ac:dyDescent="0.25">
      <c r="A39" s="213" t="s">
        <v>20</v>
      </c>
      <c r="B39" s="196">
        <v>15</v>
      </c>
      <c r="C39" s="213" t="s">
        <v>22</v>
      </c>
      <c r="D39" s="213" t="s">
        <v>21</v>
      </c>
      <c r="E39" s="196">
        <v>5100</v>
      </c>
      <c r="F39" s="205" t="s">
        <v>22</v>
      </c>
      <c r="G39" s="191">
        <f>C39*F39</f>
        <v>1</v>
      </c>
      <c r="H39" s="69" t="s">
        <v>64</v>
      </c>
      <c r="I39" s="15" t="s">
        <v>70</v>
      </c>
      <c r="J39" s="69" t="s">
        <v>64</v>
      </c>
      <c r="K39" s="69" t="s">
        <v>64</v>
      </c>
      <c r="L39" s="14">
        <v>6</v>
      </c>
      <c r="M39" s="15" t="s">
        <v>70</v>
      </c>
      <c r="N39" s="16" t="s">
        <v>64</v>
      </c>
      <c r="O39" s="17">
        <f>O26</f>
        <v>4</v>
      </c>
      <c r="P39" s="17">
        <f>O39*$F$39</f>
        <v>4</v>
      </c>
      <c r="Q39" s="70">
        <f>P39*$C$39</f>
        <v>4</v>
      </c>
      <c r="R39" s="70">
        <f>Q39</f>
        <v>4</v>
      </c>
      <c r="S39" s="71" t="s">
        <v>54</v>
      </c>
      <c r="T39" s="72"/>
    </row>
    <row r="40" spans="1:20" ht="12.95" customHeight="1" x14ac:dyDescent="0.25">
      <c r="A40" s="214"/>
      <c r="B40" s="197"/>
      <c r="C40" s="214"/>
      <c r="D40" s="214"/>
      <c r="E40" s="197"/>
      <c r="F40" s="206"/>
      <c r="G40" s="184"/>
      <c r="H40" s="73" t="s">
        <v>64</v>
      </c>
      <c r="I40" s="50" t="s">
        <v>71</v>
      </c>
      <c r="J40" s="73" t="s">
        <v>64</v>
      </c>
      <c r="K40" s="73" t="s">
        <v>64</v>
      </c>
      <c r="L40" s="49">
        <v>7</v>
      </c>
      <c r="M40" s="50" t="s">
        <v>71</v>
      </c>
      <c r="N40" s="16" t="s">
        <v>72</v>
      </c>
      <c r="O40" s="17">
        <f>O39</f>
        <v>4</v>
      </c>
      <c r="P40" s="17">
        <f t="shared" ref="P40:P57" si="4">O40*$F$39</f>
        <v>4</v>
      </c>
      <c r="Q40" s="53">
        <f t="shared" ref="Q40:Q57" si="5">P40*$C$39</f>
        <v>4</v>
      </c>
      <c r="R40" s="53">
        <f>Q40</f>
        <v>4</v>
      </c>
      <c r="S40" s="55" t="s">
        <v>54</v>
      </c>
      <c r="T40" s="72"/>
    </row>
    <row r="41" spans="1:20" ht="12.95" customHeight="1" x14ac:dyDescent="0.25">
      <c r="A41" s="214"/>
      <c r="B41" s="197"/>
      <c r="C41" s="214"/>
      <c r="D41" s="214"/>
      <c r="E41" s="197"/>
      <c r="F41" s="206"/>
      <c r="G41" s="184"/>
      <c r="H41" s="73" t="s">
        <v>64</v>
      </c>
      <c r="I41" s="15" t="s">
        <v>73</v>
      </c>
      <c r="J41" s="73" t="s">
        <v>64</v>
      </c>
      <c r="K41" s="73" t="s">
        <v>64</v>
      </c>
      <c r="L41" s="14">
        <v>8</v>
      </c>
      <c r="M41" s="15" t="s">
        <v>73</v>
      </c>
      <c r="N41" s="16" t="s">
        <v>72</v>
      </c>
      <c r="O41" s="17">
        <f>O40</f>
        <v>4</v>
      </c>
      <c r="P41" s="17">
        <f t="shared" si="4"/>
        <v>4</v>
      </c>
      <c r="Q41" s="40">
        <f t="shared" si="5"/>
        <v>4</v>
      </c>
      <c r="R41" s="40">
        <f>Q41</f>
        <v>4</v>
      </c>
      <c r="S41" s="18" t="s">
        <v>54</v>
      </c>
      <c r="T41" s="72"/>
    </row>
    <row r="42" spans="1:20" ht="12.95" customHeight="1" thickBot="1" x14ac:dyDescent="0.3">
      <c r="A42" s="214"/>
      <c r="B42" s="197"/>
      <c r="C42" s="214"/>
      <c r="D42" s="214"/>
      <c r="E42" s="197"/>
      <c r="F42" s="206"/>
      <c r="G42" s="184"/>
      <c r="H42" s="74" t="s">
        <v>64</v>
      </c>
      <c r="I42" s="23" t="s">
        <v>74</v>
      </c>
      <c r="J42" s="74" t="s">
        <v>64</v>
      </c>
      <c r="K42" s="74" t="s">
        <v>64</v>
      </c>
      <c r="L42" s="22">
        <v>9</v>
      </c>
      <c r="M42" s="23" t="s">
        <v>74</v>
      </c>
      <c r="N42" s="24" t="s">
        <v>75</v>
      </c>
      <c r="O42" s="25" t="str">
        <f>J8</f>
        <v>9</v>
      </c>
      <c r="P42" s="25">
        <f t="shared" si="4"/>
        <v>9</v>
      </c>
      <c r="Q42" s="48">
        <f t="shared" si="5"/>
        <v>9</v>
      </c>
      <c r="R42" s="48">
        <f>Q42</f>
        <v>9</v>
      </c>
      <c r="S42" s="26" t="s">
        <v>54</v>
      </c>
      <c r="T42" s="75"/>
    </row>
    <row r="43" spans="1:20" ht="12.95" customHeight="1" x14ac:dyDescent="0.25">
      <c r="A43" s="214"/>
      <c r="B43" s="197"/>
      <c r="C43" s="214"/>
      <c r="D43" s="214"/>
      <c r="E43" s="197"/>
      <c r="F43" s="206"/>
      <c r="G43" s="184"/>
      <c r="H43" s="218" t="s">
        <v>76</v>
      </c>
      <c r="I43" s="216" t="s">
        <v>77</v>
      </c>
      <c r="J43" s="216">
        <v>1</v>
      </c>
      <c r="K43" s="216">
        <f>J43*G39</f>
        <v>1</v>
      </c>
      <c r="L43" s="49">
        <v>1</v>
      </c>
      <c r="M43" s="50" t="s">
        <v>78</v>
      </c>
      <c r="N43" s="64" t="s">
        <v>79</v>
      </c>
      <c r="O43" s="54" t="str">
        <f>IF(B39=30,"24",IF(B39=20,"16",IF(B39=25,"20",IF(B39=15,"12"))))</f>
        <v>12</v>
      </c>
      <c r="P43" s="52">
        <f t="shared" si="4"/>
        <v>12</v>
      </c>
      <c r="Q43" s="53">
        <f t="shared" si="5"/>
        <v>12</v>
      </c>
      <c r="R43" s="53">
        <f t="shared" ref="R43:R56" si="6">Q43</f>
        <v>12</v>
      </c>
      <c r="S43" s="55" t="s">
        <v>54</v>
      </c>
      <c r="T43" s="76"/>
    </row>
    <row r="44" spans="1:20" ht="12.95" customHeight="1" x14ac:dyDescent="0.25">
      <c r="A44" s="214"/>
      <c r="B44" s="197"/>
      <c r="C44" s="214"/>
      <c r="D44" s="214"/>
      <c r="E44" s="197"/>
      <c r="F44" s="206"/>
      <c r="G44" s="184"/>
      <c r="H44" s="218"/>
      <c r="I44" s="216"/>
      <c r="J44" s="216"/>
      <c r="K44" s="216"/>
      <c r="L44" s="14">
        <v>2</v>
      </c>
      <c r="M44" s="15" t="s">
        <v>80</v>
      </c>
      <c r="N44" s="16" t="s">
        <v>81</v>
      </c>
      <c r="O44" s="17" t="str">
        <f>O43</f>
        <v>12</v>
      </c>
      <c r="P44" s="17">
        <f t="shared" si="4"/>
        <v>12</v>
      </c>
      <c r="Q44" s="40">
        <f t="shared" si="5"/>
        <v>12</v>
      </c>
      <c r="R44" s="40">
        <f t="shared" si="6"/>
        <v>12</v>
      </c>
      <c r="S44" s="18" t="s">
        <v>54</v>
      </c>
      <c r="T44" s="72"/>
    </row>
    <row r="45" spans="1:20" ht="12.95" customHeight="1" x14ac:dyDescent="0.25">
      <c r="A45" s="214"/>
      <c r="B45" s="197"/>
      <c r="C45" s="214"/>
      <c r="D45" s="214"/>
      <c r="E45" s="197"/>
      <c r="F45" s="206"/>
      <c r="G45" s="184"/>
      <c r="H45" s="218"/>
      <c r="I45" s="216"/>
      <c r="J45" s="216"/>
      <c r="K45" s="216"/>
      <c r="L45" s="49">
        <v>3</v>
      </c>
      <c r="M45" s="15" t="s">
        <v>82</v>
      </c>
      <c r="N45" s="16" t="s">
        <v>83</v>
      </c>
      <c r="O45" s="17" t="str">
        <f>O44</f>
        <v>12</v>
      </c>
      <c r="P45" s="17">
        <f t="shared" si="4"/>
        <v>12</v>
      </c>
      <c r="Q45" s="77">
        <f t="shared" si="5"/>
        <v>12</v>
      </c>
      <c r="R45" s="77">
        <f t="shared" si="6"/>
        <v>12</v>
      </c>
      <c r="S45" s="78" t="s">
        <v>54</v>
      </c>
      <c r="T45" s="72"/>
    </row>
    <row r="46" spans="1:20" ht="12.95" customHeight="1" x14ac:dyDescent="0.25">
      <c r="A46" s="214"/>
      <c r="B46" s="197"/>
      <c r="C46" s="214"/>
      <c r="D46" s="214"/>
      <c r="E46" s="197"/>
      <c r="F46" s="206"/>
      <c r="G46" s="184"/>
      <c r="H46" s="218"/>
      <c r="I46" s="216"/>
      <c r="J46" s="216"/>
      <c r="K46" s="216"/>
      <c r="L46" s="14">
        <v>4</v>
      </c>
      <c r="M46" s="50" t="s">
        <v>84</v>
      </c>
      <c r="N46" s="64" t="s">
        <v>85</v>
      </c>
      <c r="O46" s="52" t="str">
        <f>O24</f>
        <v>18</v>
      </c>
      <c r="P46" s="52">
        <f t="shared" si="4"/>
        <v>18</v>
      </c>
      <c r="Q46" s="40">
        <f t="shared" si="5"/>
        <v>18</v>
      </c>
      <c r="R46" s="40">
        <f t="shared" si="6"/>
        <v>18</v>
      </c>
      <c r="S46" s="18" t="s">
        <v>54</v>
      </c>
      <c r="T46" s="72"/>
    </row>
    <row r="47" spans="1:20" ht="12.95" customHeight="1" x14ac:dyDescent="0.25">
      <c r="A47" s="214"/>
      <c r="B47" s="197"/>
      <c r="C47" s="214"/>
      <c r="D47" s="214"/>
      <c r="E47" s="197"/>
      <c r="F47" s="206"/>
      <c r="G47" s="184"/>
      <c r="H47" s="218"/>
      <c r="I47" s="216"/>
      <c r="J47" s="216"/>
      <c r="K47" s="216"/>
      <c r="L47" s="49">
        <v>5</v>
      </c>
      <c r="M47" s="15" t="s">
        <v>86</v>
      </c>
      <c r="N47" s="16" t="s">
        <v>87</v>
      </c>
      <c r="O47" s="17" t="str">
        <f>O46</f>
        <v>18</v>
      </c>
      <c r="P47" s="17">
        <f t="shared" si="4"/>
        <v>18</v>
      </c>
      <c r="Q47" s="53">
        <f t="shared" si="5"/>
        <v>18</v>
      </c>
      <c r="R47" s="53">
        <f t="shared" si="6"/>
        <v>18</v>
      </c>
      <c r="S47" s="55" t="s">
        <v>54</v>
      </c>
      <c r="T47" s="72"/>
    </row>
    <row r="48" spans="1:20" ht="12.95" customHeight="1" x14ac:dyDescent="0.25">
      <c r="A48" s="214"/>
      <c r="B48" s="197"/>
      <c r="C48" s="214"/>
      <c r="D48" s="214"/>
      <c r="E48" s="197"/>
      <c r="F48" s="206"/>
      <c r="G48" s="184"/>
      <c r="H48" s="218"/>
      <c r="I48" s="216"/>
      <c r="J48" s="216"/>
      <c r="K48" s="216"/>
      <c r="L48" s="14">
        <v>6</v>
      </c>
      <c r="M48" s="15" t="s">
        <v>88</v>
      </c>
      <c r="N48" s="16" t="s">
        <v>89</v>
      </c>
      <c r="O48" s="17">
        <f>J8*11</f>
        <v>99</v>
      </c>
      <c r="P48" s="17">
        <f t="shared" si="4"/>
        <v>99</v>
      </c>
      <c r="Q48" s="53">
        <f t="shared" si="5"/>
        <v>99</v>
      </c>
      <c r="R48" s="53">
        <f t="shared" si="6"/>
        <v>99</v>
      </c>
      <c r="S48" s="55" t="s">
        <v>54</v>
      </c>
      <c r="T48" s="72"/>
    </row>
    <row r="49" spans="1:20" ht="12.95" customHeight="1" x14ac:dyDescent="0.25">
      <c r="A49" s="214"/>
      <c r="B49" s="197"/>
      <c r="C49" s="214"/>
      <c r="D49" s="214"/>
      <c r="E49" s="197"/>
      <c r="F49" s="206"/>
      <c r="G49" s="184"/>
      <c r="H49" s="218"/>
      <c r="I49" s="216"/>
      <c r="J49" s="216"/>
      <c r="K49" s="216"/>
      <c r="L49" s="49">
        <v>7</v>
      </c>
      <c r="M49" s="15" t="s">
        <v>90</v>
      </c>
      <c r="N49" s="16" t="s">
        <v>87</v>
      </c>
      <c r="O49" s="17">
        <f>O48</f>
        <v>99</v>
      </c>
      <c r="P49" s="17">
        <f t="shared" si="4"/>
        <v>99</v>
      </c>
      <c r="Q49" s="40">
        <f t="shared" si="5"/>
        <v>99</v>
      </c>
      <c r="R49" s="40">
        <f t="shared" si="6"/>
        <v>99</v>
      </c>
      <c r="S49" s="18" t="s">
        <v>54</v>
      </c>
      <c r="T49" s="72"/>
    </row>
    <row r="50" spans="1:20" ht="12.95" customHeight="1" x14ac:dyDescent="0.25">
      <c r="A50" s="214"/>
      <c r="B50" s="197"/>
      <c r="C50" s="214"/>
      <c r="D50" s="214"/>
      <c r="E50" s="197"/>
      <c r="F50" s="206"/>
      <c r="G50" s="184"/>
      <c r="H50" s="218"/>
      <c r="I50" s="216"/>
      <c r="J50" s="216"/>
      <c r="K50" s="216"/>
      <c r="L50" s="14">
        <v>8</v>
      </c>
      <c r="M50" s="15" t="s">
        <v>91</v>
      </c>
      <c r="N50" s="16" t="s">
        <v>92</v>
      </c>
      <c r="O50" s="17">
        <f>O49</f>
        <v>99</v>
      </c>
      <c r="P50" s="17">
        <f t="shared" si="4"/>
        <v>99</v>
      </c>
      <c r="Q50" s="40">
        <f t="shared" si="5"/>
        <v>99</v>
      </c>
      <c r="R50" s="40">
        <f t="shared" si="6"/>
        <v>99</v>
      </c>
      <c r="S50" s="18" t="s">
        <v>54</v>
      </c>
      <c r="T50" s="72"/>
    </row>
    <row r="51" spans="1:20" ht="12.95" customHeight="1" x14ac:dyDescent="0.25">
      <c r="A51" s="214"/>
      <c r="B51" s="197"/>
      <c r="C51" s="214"/>
      <c r="D51" s="214"/>
      <c r="E51" s="197"/>
      <c r="F51" s="206"/>
      <c r="G51" s="184"/>
      <c r="H51" s="218"/>
      <c r="I51" s="216"/>
      <c r="J51" s="216"/>
      <c r="K51" s="216"/>
      <c r="L51" s="49">
        <v>9</v>
      </c>
      <c r="M51" s="15" t="s">
        <v>93</v>
      </c>
      <c r="N51" s="16" t="s">
        <v>94</v>
      </c>
      <c r="O51" s="17" t="str">
        <f>IF((AND(B39=30,E39=3400)),"48",IF((AND(B39=25,E39=3400)),"35",IF((AND(B39=20,E39=3400)),"24",IF((AND(B39=15,E39=3400)),"15",IF((AND(B39=30,E39=5100)),"120",IF((AND(B39=25,E39=5100)),"90",IF((AND(B39=20,E39=5100)),"64",IF((AND(B39=15,E39=5100)),"42"))))))))</f>
        <v>42</v>
      </c>
      <c r="P51" s="17">
        <f t="shared" si="4"/>
        <v>42</v>
      </c>
      <c r="Q51" s="40">
        <f t="shared" si="5"/>
        <v>42</v>
      </c>
      <c r="R51" s="40">
        <f t="shared" si="6"/>
        <v>42</v>
      </c>
      <c r="S51" s="18" t="s">
        <v>54</v>
      </c>
      <c r="T51" s="72"/>
    </row>
    <row r="52" spans="1:20" ht="12.95" customHeight="1" x14ac:dyDescent="0.25">
      <c r="A52" s="214"/>
      <c r="B52" s="197"/>
      <c r="C52" s="214"/>
      <c r="D52" s="214"/>
      <c r="E52" s="197"/>
      <c r="F52" s="206"/>
      <c r="G52" s="184"/>
      <c r="H52" s="218"/>
      <c r="I52" s="216"/>
      <c r="J52" s="216"/>
      <c r="K52" s="216"/>
      <c r="L52" s="14">
        <v>10</v>
      </c>
      <c r="M52" s="15" t="s">
        <v>95</v>
      </c>
      <c r="N52" s="16" t="s">
        <v>96</v>
      </c>
      <c r="O52" s="17" t="str">
        <f>O51</f>
        <v>42</v>
      </c>
      <c r="P52" s="17">
        <f t="shared" si="4"/>
        <v>42</v>
      </c>
      <c r="Q52" s="40">
        <f t="shared" si="5"/>
        <v>42</v>
      </c>
      <c r="R52" s="40">
        <f t="shared" si="6"/>
        <v>42</v>
      </c>
      <c r="S52" s="18" t="s">
        <v>54</v>
      </c>
      <c r="T52" s="72"/>
    </row>
    <row r="53" spans="1:20" ht="12.95" customHeight="1" x14ac:dyDescent="0.25">
      <c r="A53" s="214"/>
      <c r="B53" s="197"/>
      <c r="C53" s="214"/>
      <c r="D53" s="214"/>
      <c r="E53" s="197"/>
      <c r="F53" s="206"/>
      <c r="G53" s="184"/>
      <c r="H53" s="218"/>
      <c r="I53" s="216"/>
      <c r="J53" s="216"/>
      <c r="K53" s="216"/>
      <c r="L53" s="49">
        <v>11</v>
      </c>
      <c r="M53" s="15" t="s">
        <v>97</v>
      </c>
      <c r="N53" s="16" t="s">
        <v>98</v>
      </c>
      <c r="O53" s="17" t="str">
        <f>O51</f>
        <v>42</v>
      </c>
      <c r="P53" s="17">
        <f t="shared" si="4"/>
        <v>42</v>
      </c>
      <c r="Q53" s="79">
        <f t="shared" si="5"/>
        <v>42</v>
      </c>
      <c r="R53" s="79">
        <f t="shared" si="6"/>
        <v>42</v>
      </c>
      <c r="S53" s="80" t="s">
        <v>54</v>
      </c>
      <c r="T53" s="72"/>
    </row>
    <row r="54" spans="1:20" ht="12.95" customHeight="1" x14ac:dyDescent="0.25">
      <c r="A54" s="214"/>
      <c r="B54" s="197"/>
      <c r="C54" s="214"/>
      <c r="D54" s="214"/>
      <c r="E54" s="197"/>
      <c r="F54" s="206"/>
      <c r="G54" s="184"/>
      <c r="H54" s="218"/>
      <c r="I54" s="216"/>
      <c r="J54" s="216"/>
      <c r="K54" s="216"/>
      <c r="L54" s="14">
        <v>12</v>
      </c>
      <c r="M54" s="15" t="s">
        <v>99</v>
      </c>
      <c r="N54" s="16" t="s">
        <v>100</v>
      </c>
      <c r="O54" s="17">
        <f>J8*7</f>
        <v>63</v>
      </c>
      <c r="P54" s="79">
        <f t="shared" si="4"/>
        <v>63</v>
      </c>
      <c r="Q54" s="40">
        <f t="shared" si="5"/>
        <v>63</v>
      </c>
      <c r="R54" s="40">
        <f t="shared" si="6"/>
        <v>63</v>
      </c>
      <c r="S54" s="18" t="s">
        <v>54</v>
      </c>
      <c r="T54" s="81"/>
    </row>
    <row r="55" spans="1:20" ht="12.95" customHeight="1" x14ac:dyDescent="0.25">
      <c r="A55" s="214"/>
      <c r="B55" s="197"/>
      <c r="C55" s="214"/>
      <c r="D55" s="214"/>
      <c r="E55" s="197"/>
      <c r="F55" s="206"/>
      <c r="G55" s="184"/>
      <c r="H55" s="218"/>
      <c r="I55" s="216"/>
      <c r="J55" s="216"/>
      <c r="K55" s="216"/>
      <c r="L55" s="49">
        <v>13</v>
      </c>
      <c r="M55" s="15" t="s">
        <v>101</v>
      </c>
      <c r="N55" s="16" t="s">
        <v>89</v>
      </c>
      <c r="O55" s="17">
        <v>4</v>
      </c>
      <c r="P55" s="17">
        <f t="shared" si="4"/>
        <v>4</v>
      </c>
      <c r="Q55" s="40">
        <f t="shared" si="5"/>
        <v>4</v>
      </c>
      <c r="R55" s="40">
        <f t="shared" si="6"/>
        <v>4</v>
      </c>
      <c r="S55" s="18" t="s">
        <v>54</v>
      </c>
      <c r="T55" s="81"/>
    </row>
    <row r="56" spans="1:20" ht="12.95" customHeight="1" x14ac:dyDescent="0.25">
      <c r="A56" s="214"/>
      <c r="B56" s="197"/>
      <c r="C56" s="214"/>
      <c r="D56" s="214"/>
      <c r="E56" s="197"/>
      <c r="F56" s="206"/>
      <c r="G56" s="184"/>
      <c r="H56" s="218"/>
      <c r="I56" s="216"/>
      <c r="J56" s="216"/>
      <c r="K56" s="216"/>
      <c r="L56" s="14">
        <v>14</v>
      </c>
      <c r="M56" s="15" t="s">
        <v>102</v>
      </c>
      <c r="N56" s="16" t="s">
        <v>103</v>
      </c>
      <c r="O56" s="17">
        <v>4</v>
      </c>
      <c r="P56" s="17">
        <f t="shared" si="4"/>
        <v>4</v>
      </c>
      <c r="Q56" s="40">
        <f t="shared" si="5"/>
        <v>4</v>
      </c>
      <c r="R56" s="40">
        <f t="shared" si="6"/>
        <v>4</v>
      </c>
      <c r="S56" s="18" t="s">
        <v>54</v>
      </c>
      <c r="T56" s="81"/>
    </row>
    <row r="57" spans="1:20" ht="12.95" customHeight="1" x14ac:dyDescent="0.25">
      <c r="A57" s="215"/>
      <c r="B57" s="198"/>
      <c r="C57" s="215"/>
      <c r="D57" s="215"/>
      <c r="E57" s="198"/>
      <c r="F57" s="207"/>
      <c r="G57" s="192"/>
      <c r="H57" s="219"/>
      <c r="I57" s="217"/>
      <c r="J57" s="217"/>
      <c r="K57" s="217"/>
      <c r="L57" s="49">
        <v>15</v>
      </c>
      <c r="M57" s="15" t="s">
        <v>104</v>
      </c>
      <c r="N57" s="20" t="str">
        <f>IF(B8=30,"3x150x10000",IF(B8=25,"3x150x8500",IF(B8=20,"3x150x7000",IF(B8=15,"3x150x5500"))))</f>
        <v>3x150x5500</v>
      </c>
      <c r="O57" s="17">
        <v>1</v>
      </c>
      <c r="P57" s="17">
        <f t="shared" si="4"/>
        <v>1</v>
      </c>
      <c r="Q57" s="40">
        <f t="shared" si="5"/>
        <v>1</v>
      </c>
      <c r="R57" s="20">
        <f>IF(B8=30,"6.75",IF(B8=25,"5.73",IF(B8=20,"4.72",IF(B8=15,"3.71"))))*Q57</f>
        <v>3.71</v>
      </c>
      <c r="S57" s="18" t="s">
        <v>27</v>
      </c>
      <c r="T57" s="81"/>
    </row>
    <row r="72" spans="1:1" hidden="1" x14ac:dyDescent="0.25">
      <c r="A72" t="s">
        <v>105</v>
      </c>
    </row>
    <row r="73" spans="1:1" hidden="1" x14ac:dyDescent="0.25">
      <c r="A73" t="s">
        <v>106</v>
      </c>
    </row>
  </sheetData>
  <mergeCells count="40">
    <mergeCell ref="F39:F57"/>
    <mergeCell ref="G39:G57"/>
    <mergeCell ref="H43:H57"/>
    <mergeCell ref="I43:I57"/>
    <mergeCell ref="J43:J57"/>
    <mergeCell ref="K43:K57"/>
    <mergeCell ref="H20:H21"/>
    <mergeCell ref="I20:I21"/>
    <mergeCell ref="J20:J21"/>
    <mergeCell ref="K20:K21"/>
    <mergeCell ref="A37:C37"/>
    <mergeCell ref="A39:A57"/>
    <mergeCell ref="B39:B57"/>
    <mergeCell ref="C39:C57"/>
    <mergeCell ref="D39:D57"/>
    <mergeCell ref="E39:E57"/>
    <mergeCell ref="H16:H17"/>
    <mergeCell ref="I16:I17"/>
    <mergeCell ref="J16:J17"/>
    <mergeCell ref="K16:K17"/>
    <mergeCell ref="H18:H19"/>
    <mergeCell ref="I18:I19"/>
    <mergeCell ref="J18:J19"/>
    <mergeCell ref="K18:K19"/>
    <mergeCell ref="F8:F26"/>
    <mergeCell ref="G8:G26"/>
    <mergeCell ref="H8:H11"/>
    <mergeCell ref="I8:I11"/>
    <mergeCell ref="J8:J11"/>
    <mergeCell ref="K8:K11"/>
    <mergeCell ref="H12:H15"/>
    <mergeCell ref="I12:I15"/>
    <mergeCell ref="J12:J15"/>
    <mergeCell ref="K12:K15"/>
    <mergeCell ref="A6:C6"/>
    <mergeCell ref="A8:A26"/>
    <mergeCell ref="B8:B26"/>
    <mergeCell ref="C8:C26"/>
    <mergeCell ref="D8:D26"/>
    <mergeCell ref="E8:E2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9"/>
  <sheetViews>
    <sheetView view="pageLayout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86" t="s">
        <v>0</v>
      </c>
      <c r="B6" s="187"/>
      <c r="C6" s="187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49.1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0" ht="14.25" customHeight="1" x14ac:dyDescent="0.25">
      <c r="A8" s="221" t="s">
        <v>20</v>
      </c>
      <c r="B8" s="224">
        <f>درام!B8</f>
        <v>15</v>
      </c>
      <c r="C8" s="191">
        <v>2</v>
      </c>
      <c r="D8" s="227" t="s">
        <v>23</v>
      </c>
      <c r="E8" s="220" t="s">
        <v>107</v>
      </c>
      <c r="F8" s="229" t="s">
        <v>22</v>
      </c>
      <c r="G8" s="231">
        <f>F8*C8</f>
        <v>2</v>
      </c>
      <c r="H8" s="227" t="s">
        <v>23</v>
      </c>
      <c r="I8" s="227" t="s">
        <v>107</v>
      </c>
      <c r="J8" s="227">
        <v>1</v>
      </c>
      <c r="K8" s="227">
        <v>2</v>
      </c>
      <c r="L8" s="82" t="s">
        <v>22</v>
      </c>
      <c r="M8" s="83" t="s">
        <v>108</v>
      </c>
      <c r="N8" s="84" t="s">
        <v>109</v>
      </c>
      <c r="O8" s="85">
        <v>1</v>
      </c>
      <c r="P8" s="86">
        <f>O8*$F$8</f>
        <v>1</v>
      </c>
      <c r="Q8" s="86">
        <f>P8*$C$8</f>
        <v>2</v>
      </c>
      <c r="R8" s="86">
        <f>Q8*5.5</f>
        <v>11</v>
      </c>
      <c r="S8" s="87" t="s">
        <v>27</v>
      </c>
      <c r="T8" s="72"/>
    </row>
    <row r="9" spans="1:20" ht="14.25" customHeight="1" x14ac:dyDescent="0.25">
      <c r="A9" s="222"/>
      <c r="B9" s="225"/>
      <c r="C9" s="184"/>
      <c r="D9" s="227"/>
      <c r="E9" s="220"/>
      <c r="F9" s="229"/>
      <c r="G9" s="232"/>
      <c r="H9" s="227"/>
      <c r="I9" s="227"/>
      <c r="J9" s="227"/>
      <c r="K9" s="227"/>
      <c r="L9" s="82" t="s">
        <v>28</v>
      </c>
      <c r="M9" s="83" t="s">
        <v>110</v>
      </c>
      <c r="N9" s="84" t="s">
        <v>111</v>
      </c>
      <c r="O9" s="85">
        <v>1</v>
      </c>
      <c r="P9" s="86">
        <f t="shared" ref="P9:P18" si="0">O9*$F$8</f>
        <v>1</v>
      </c>
      <c r="Q9" s="85">
        <f t="shared" ref="Q9:Q18" si="1">P9*$C$8</f>
        <v>2</v>
      </c>
      <c r="R9" s="85">
        <f>15.19*Q9</f>
        <v>30.38</v>
      </c>
      <c r="S9" s="87" t="s">
        <v>27</v>
      </c>
      <c r="T9" s="72"/>
    </row>
    <row r="10" spans="1:20" ht="14.25" customHeight="1" x14ac:dyDescent="0.25">
      <c r="A10" s="222"/>
      <c r="B10" s="225"/>
      <c r="C10" s="184"/>
      <c r="D10" s="227"/>
      <c r="E10" s="220"/>
      <c r="F10" s="229"/>
      <c r="G10" s="232"/>
      <c r="H10" s="227"/>
      <c r="I10" s="227"/>
      <c r="J10" s="227"/>
      <c r="K10" s="227"/>
      <c r="L10" s="82" t="s">
        <v>31</v>
      </c>
      <c r="M10" s="83" t="s">
        <v>112</v>
      </c>
      <c r="N10" s="20" t="str">
        <f>IF(B8=30,"4x234x1648",IF(B8=20,"4x234x1192",IF(B8=25,"4x234x1420",IF(B8=15,"4x234x964"))))</f>
        <v>4x234x964</v>
      </c>
      <c r="O10" s="85">
        <v>2</v>
      </c>
      <c r="P10" s="85">
        <f t="shared" si="0"/>
        <v>2</v>
      </c>
      <c r="Q10" s="85">
        <f t="shared" si="1"/>
        <v>4</v>
      </c>
      <c r="R10" s="54">
        <f>(IF(B8=30,"12.1",IF(B8=20,"8.75",IF(B8=25,"10.42",IF(B8=15,"7")))))*Q10</f>
        <v>28</v>
      </c>
      <c r="S10" s="87" t="s">
        <v>27</v>
      </c>
      <c r="T10" s="72"/>
    </row>
    <row r="11" spans="1:20" ht="14.25" customHeight="1" thickBot="1" x14ac:dyDescent="0.3">
      <c r="A11" s="222"/>
      <c r="B11" s="225"/>
      <c r="C11" s="184"/>
      <c r="D11" s="227"/>
      <c r="E11" s="220"/>
      <c r="F11" s="229"/>
      <c r="G11" s="232"/>
      <c r="H11" s="228"/>
      <c r="I11" s="228"/>
      <c r="J11" s="228"/>
      <c r="K11" s="228"/>
      <c r="L11" s="88" t="s">
        <v>34</v>
      </c>
      <c r="M11" s="89" t="s">
        <v>113</v>
      </c>
      <c r="N11" s="90" t="s">
        <v>114</v>
      </c>
      <c r="O11" s="91">
        <v>4</v>
      </c>
      <c r="P11" s="91">
        <f t="shared" si="0"/>
        <v>4</v>
      </c>
      <c r="Q11" s="91">
        <f t="shared" si="1"/>
        <v>8</v>
      </c>
      <c r="R11" s="91">
        <f>0.75*Q11</f>
        <v>6</v>
      </c>
      <c r="S11" s="92" t="s">
        <v>27</v>
      </c>
      <c r="T11" s="75"/>
    </row>
    <row r="12" spans="1:20" ht="14.25" customHeight="1" thickBot="1" x14ac:dyDescent="0.3">
      <c r="A12" s="222"/>
      <c r="B12" s="225"/>
      <c r="C12" s="184"/>
      <c r="D12" s="227"/>
      <c r="E12" s="220"/>
      <c r="F12" s="229"/>
      <c r="G12" s="232"/>
      <c r="H12" s="93" t="s">
        <v>64</v>
      </c>
      <c r="I12" s="93" t="s">
        <v>115</v>
      </c>
      <c r="J12" s="93">
        <v>1</v>
      </c>
      <c r="K12" s="93">
        <v>2</v>
      </c>
      <c r="L12" s="94" t="s">
        <v>22</v>
      </c>
      <c r="M12" s="95" t="s">
        <v>115</v>
      </c>
      <c r="N12" s="96" t="s">
        <v>116</v>
      </c>
      <c r="O12" s="97">
        <v>1</v>
      </c>
      <c r="P12" s="97">
        <f t="shared" si="0"/>
        <v>1</v>
      </c>
      <c r="Q12" s="97">
        <f t="shared" si="1"/>
        <v>2</v>
      </c>
      <c r="R12" s="97">
        <f>Q12</f>
        <v>2</v>
      </c>
      <c r="S12" s="98" t="s">
        <v>54</v>
      </c>
      <c r="T12" s="99"/>
    </row>
    <row r="13" spans="1:20" ht="14.25" customHeight="1" x14ac:dyDescent="0.25">
      <c r="A13" s="222"/>
      <c r="B13" s="225"/>
      <c r="C13" s="184"/>
      <c r="D13" s="227"/>
      <c r="E13" s="220"/>
      <c r="F13" s="229"/>
      <c r="G13" s="232"/>
      <c r="H13" s="207" t="s">
        <v>37</v>
      </c>
      <c r="I13" s="230" t="s">
        <v>77</v>
      </c>
      <c r="J13" s="207">
        <v>1</v>
      </c>
      <c r="K13" s="207">
        <v>2</v>
      </c>
      <c r="L13" s="100" t="s">
        <v>22</v>
      </c>
      <c r="M13" s="101" t="s">
        <v>117</v>
      </c>
      <c r="N13" s="102" t="s">
        <v>118</v>
      </c>
      <c r="O13" s="103">
        <v>2</v>
      </c>
      <c r="P13" s="103">
        <f t="shared" si="0"/>
        <v>2</v>
      </c>
      <c r="Q13" s="103">
        <f t="shared" si="1"/>
        <v>4</v>
      </c>
      <c r="R13" s="103">
        <f t="shared" ref="R13:R18" si="2">Q13</f>
        <v>4</v>
      </c>
      <c r="S13" s="104" t="s">
        <v>54</v>
      </c>
      <c r="T13" s="76"/>
    </row>
    <row r="14" spans="1:20" ht="14.25" customHeight="1" x14ac:dyDescent="0.25">
      <c r="A14" s="222"/>
      <c r="B14" s="225"/>
      <c r="C14" s="184"/>
      <c r="D14" s="227"/>
      <c r="E14" s="220"/>
      <c r="F14" s="229"/>
      <c r="G14" s="232"/>
      <c r="H14" s="229"/>
      <c r="I14" s="220"/>
      <c r="J14" s="229"/>
      <c r="K14" s="229"/>
      <c r="L14" s="82" t="s">
        <v>28</v>
      </c>
      <c r="M14" s="83" t="s">
        <v>119</v>
      </c>
      <c r="N14" s="84" t="s">
        <v>120</v>
      </c>
      <c r="O14" s="85">
        <v>2</v>
      </c>
      <c r="P14" s="85">
        <f t="shared" si="0"/>
        <v>2</v>
      </c>
      <c r="Q14" s="85">
        <f t="shared" si="1"/>
        <v>4</v>
      </c>
      <c r="R14" s="85">
        <f t="shared" si="2"/>
        <v>4</v>
      </c>
      <c r="S14" s="87" t="s">
        <v>54</v>
      </c>
      <c r="T14" s="72"/>
    </row>
    <row r="15" spans="1:20" ht="14.25" customHeight="1" x14ac:dyDescent="0.25">
      <c r="A15" s="222"/>
      <c r="B15" s="225"/>
      <c r="C15" s="184"/>
      <c r="D15" s="227"/>
      <c r="E15" s="220"/>
      <c r="F15" s="229"/>
      <c r="G15" s="232"/>
      <c r="H15" s="229"/>
      <c r="I15" s="220"/>
      <c r="J15" s="229"/>
      <c r="K15" s="229"/>
      <c r="L15" s="82" t="s">
        <v>31</v>
      </c>
      <c r="M15" s="83" t="s">
        <v>121</v>
      </c>
      <c r="N15" s="84" t="s">
        <v>122</v>
      </c>
      <c r="O15" s="85">
        <v>2</v>
      </c>
      <c r="P15" s="85">
        <f t="shared" si="0"/>
        <v>2</v>
      </c>
      <c r="Q15" s="85">
        <f t="shared" si="1"/>
        <v>4</v>
      </c>
      <c r="R15" s="85">
        <f t="shared" si="2"/>
        <v>4</v>
      </c>
      <c r="S15" s="87" t="s">
        <v>54</v>
      </c>
      <c r="T15" s="72"/>
    </row>
    <row r="16" spans="1:20" ht="14.25" customHeight="1" x14ac:dyDescent="0.25">
      <c r="A16" s="222"/>
      <c r="B16" s="225"/>
      <c r="C16" s="184"/>
      <c r="D16" s="227"/>
      <c r="E16" s="220"/>
      <c r="F16" s="229"/>
      <c r="G16" s="232"/>
      <c r="H16" s="229"/>
      <c r="I16" s="220"/>
      <c r="J16" s="229"/>
      <c r="K16" s="229"/>
      <c r="L16" s="82" t="s">
        <v>34</v>
      </c>
      <c r="M16" s="83" t="s">
        <v>123</v>
      </c>
      <c r="N16" s="84" t="s">
        <v>122</v>
      </c>
      <c r="O16" s="85">
        <v>2</v>
      </c>
      <c r="P16" s="85">
        <f t="shared" si="0"/>
        <v>2</v>
      </c>
      <c r="Q16" s="85">
        <f t="shared" si="1"/>
        <v>4</v>
      </c>
      <c r="R16" s="85">
        <f t="shared" si="2"/>
        <v>4</v>
      </c>
      <c r="S16" s="87" t="s">
        <v>54</v>
      </c>
      <c r="T16" s="72"/>
    </row>
    <row r="17" spans="1:20" ht="14.25" customHeight="1" x14ac:dyDescent="0.25">
      <c r="A17" s="222"/>
      <c r="B17" s="225"/>
      <c r="C17" s="184"/>
      <c r="D17" s="227"/>
      <c r="E17" s="220"/>
      <c r="F17" s="229"/>
      <c r="G17" s="232"/>
      <c r="H17" s="229"/>
      <c r="I17" s="220"/>
      <c r="J17" s="229"/>
      <c r="K17" s="229"/>
      <c r="L17" s="82" t="s">
        <v>124</v>
      </c>
      <c r="M17" s="83" t="s">
        <v>125</v>
      </c>
      <c r="N17" s="84" t="s">
        <v>126</v>
      </c>
      <c r="O17" s="85">
        <v>4</v>
      </c>
      <c r="P17" s="85">
        <f t="shared" si="0"/>
        <v>4</v>
      </c>
      <c r="Q17" s="85">
        <f t="shared" si="1"/>
        <v>8</v>
      </c>
      <c r="R17" s="85">
        <f t="shared" si="2"/>
        <v>8</v>
      </c>
      <c r="S17" s="87" t="s">
        <v>54</v>
      </c>
      <c r="T17" s="72"/>
    </row>
    <row r="18" spans="1:20" ht="14.25" customHeight="1" x14ac:dyDescent="0.25">
      <c r="A18" s="223"/>
      <c r="B18" s="226"/>
      <c r="C18" s="192"/>
      <c r="D18" s="227"/>
      <c r="E18" s="220"/>
      <c r="F18" s="229"/>
      <c r="G18" s="232"/>
      <c r="H18" s="229"/>
      <c r="I18" s="220"/>
      <c r="J18" s="229"/>
      <c r="K18" s="229"/>
      <c r="L18" s="82" t="s">
        <v>127</v>
      </c>
      <c r="M18" s="83" t="s">
        <v>128</v>
      </c>
      <c r="N18" s="105" t="s">
        <v>129</v>
      </c>
      <c r="O18" s="85">
        <v>4</v>
      </c>
      <c r="P18" s="85">
        <f t="shared" si="0"/>
        <v>4</v>
      </c>
      <c r="Q18" s="85">
        <f t="shared" si="1"/>
        <v>8</v>
      </c>
      <c r="R18" s="85">
        <f t="shared" si="2"/>
        <v>8</v>
      </c>
      <c r="S18" s="87" t="s">
        <v>54</v>
      </c>
      <c r="T18" s="72"/>
    </row>
    <row r="19" spans="1:20" x14ac:dyDescent="0.25">
      <c r="J19" s="106"/>
      <c r="K19" s="106"/>
    </row>
    <row r="21" spans="1:20" x14ac:dyDescent="0.25">
      <c r="Q21" s="107"/>
    </row>
    <row r="25" spans="1:20" ht="15.75" x14ac:dyDescent="0.25">
      <c r="M25" s="108"/>
    </row>
    <row r="26" spans="1:20" hidden="1" x14ac:dyDescent="0.25">
      <c r="B26" s="109">
        <v>15</v>
      </c>
    </row>
    <row r="27" spans="1:20" hidden="1" x14ac:dyDescent="0.25">
      <c r="B27" s="109">
        <v>20</v>
      </c>
    </row>
    <row r="28" spans="1:20" hidden="1" x14ac:dyDescent="0.25">
      <c r="B28" s="109">
        <v>25</v>
      </c>
    </row>
    <row r="29" spans="1:20" hidden="1" x14ac:dyDescent="0.25">
      <c r="B29" s="109">
        <v>30</v>
      </c>
    </row>
  </sheetData>
  <mergeCells count="16">
    <mergeCell ref="F8:F18"/>
    <mergeCell ref="G8:G18"/>
    <mergeCell ref="H8:H11"/>
    <mergeCell ref="I8:I11"/>
    <mergeCell ref="J8:J11"/>
    <mergeCell ref="K8:K11"/>
    <mergeCell ref="H13:H18"/>
    <mergeCell ref="I13:I18"/>
    <mergeCell ref="J13:J18"/>
    <mergeCell ref="K13:K18"/>
    <mergeCell ref="E8:E18"/>
    <mergeCell ref="A6:C6"/>
    <mergeCell ref="A8:A18"/>
    <mergeCell ref="B8:B18"/>
    <mergeCell ref="C8:C18"/>
    <mergeCell ref="D8:D1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9"/>
  <sheetViews>
    <sheetView view="pageLayout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86" t="s">
        <v>0</v>
      </c>
      <c r="B6" s="187"/>
      <c r="C6" s="187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50.2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0" x14ac:dyDescent="0.25">
      <c r="A8" s="233" t="s">
        <v>20</v>
      </c>
      <c r="B8" s="234">
        <f>درام!B8</f>
        <v>15</v>
      </c>
      <c r="C8" s="234">
        <v>2</v>
      </c>
      <c r="D8" s="233" t="s">
        <v>37</v>
      </c>
      <c r="E8" s="235" t="s">
        <v>130</v>
      </c>
      <c r="F8" s="237">
        <v>1</v>
      </c>
      <c r="G8" s="232">
        <f>C8*F8</f>
        <v>2</v>
      </c>
      <c r="H8" s="232" t="s">
        <v>23</v>
      </c>
      <c r="I8" s="232" t="s">
        <v>130</v>
      </c>
      <c r="J8" s="232">
        <v>1</v>
      </c>
      <c r="K8" s="232">
        <f>J8*G8</f>
        <v>2</v>
      </c>
      <c r="L8" s="110" t="s">
        <v>22</v>
      </c>
      <c r="M8" s="111" t="s">
        <v>108</v>
      </c>
      <c r="N8" s="112" t="s">
        <v>131</v>
      </c>
      <c r="O8" s="112">
        <v>1</v>
      </c>
      <c r="P8" s="20">
        <f>O8*$F$8</f>
        <v>1</v>
      </c>
      <c r="Q8" s="20">
        <f>P8*$C$8</f>
        <v>2</v>
      </c>
      <c r="R8" s="20">
        <f>5.65*Q8</f>
        <v>11.3</v>
      </c>
      <c r="S8" s="20" t="s">
        <v>27</v>
      </c>
      <c r="T8" s="113"/>
    </row>
    <row r="9" spans="1:20" x14ac:dyDescent="0.25">
      <c r="A9" s="233"/>
      <c r="B9" s="234"/>
      <c r="C9" s="234"/>
      <c r="D9" s="233"/>
      <c r="E9" s="235"/>
      <c r="F9" s="237"/>
      <c r="G9" s="232"/>
      <c r="H9" s="232"/>
      <c r="I9" s="232"/>
      <c r="J9" s="232"/>
      <c r="K9" s="232"/>
      <c r="L9" s="110" t="s">
        <v>28</v>
      </c>
      <c r="M9" s="111" t="s">
        <v>110</v>
      </c>
      <c r="N9" s="112" t="s">
        <v>132</v>
      </c>
      <c r="O9" s="112">
        <v>3</v>
      </c>
      <c r="P9" s="20">
        <f t="shared" ref="P9:P23" si="0">O9*$F$8</f>
        <v>3</v>
      </c>
      <c r="Q9" s="20">
        <f t="shared" ref="Q9:Q23" si="1">P9*$C$8</f>
        <v>6</v>
      </c>
      <c r="R9" s="20">
        <f>Q9*1.5</f>
        <v>9</v>
      </c>
      <c r="S9" s="20" t="s">
        <v>27</v>
      </c>
      <c r="T9" s="113"/>
    </row>
    <row r="10" spans="1:20" x14ac:dyDescent="0.25">
      <c r="A10" s="233"/>
      <c r="B10" s="234"/>
      <c r="C10" s="234"/>
      <c r="D10" s="233"/>
      <c r="E10" s="235"/>
      <c r="F10" s="237"/>
      <c r="G10" s="232"/>
      <c r="H10" s="232"/>
      <c r="I10" s="232"/>
      <c r="J10" s="232"/>
      <c r="K10" s="232"/>
      <c r="L10" s="110" t="s">
        <v>31</v>
      </c>
      <c r="M10" s="111" t="s">
        <v>133</v>
      </c>
      <c r="N10" s="112" t="s">
        <v>134</v>
      </c>
      <c r="O10" s="112">
        <v>1</v>
      </c>
      <c r="P10" s="20">
        <f t="shared" si="0"/>
        <v>1</v>
      </c>
      <c r="Q10" s="20">
        <f t="shared" si="1"/>
        <v>2</v>
      </c>
      <c r="R10" s="20">
        <f>2.3*Q10</f>
        <v>4.5999999999999996</v>
      </c>
      <c r="S10" s="20" t="s">
        <v>27</v>
      </c>
      <c r="T10" s="113"/>
    </row>
    <row r="11" spans="1:20" x14ac:dyDescent="0.25">
      <c r="A11" s="233"/>
      <c r="B11" s="234"/>
      <c r="C11" s="234"/>
      <c r="D11" s="233"/>
      <c r="E11" s="235"/>
      <c r="F11" s="237"/>
      <c r="G11" s="232"/>
      <c r="H11" s="232"/>
      <c r="I11" s="232"/>
      <c r="J11" s="232"/>
      <c r="K11" s="232"/>
      <c r="L11" s="110" t="s">
        <v>34</v>
      </c>
      <c r="M11" s="111" t="s">
        <v>135</v>
      </c>
      <c r="N11" s="54" t="str">
        <f>IF(B8=30,"70x70,L=1677",IF(B8=20,"70x70,L=1213",IF(B8=25,"70x70,L=1445",IF(B8=15,"70x70,L=981"))))</f>
        <v>70x70,L=981</v>
      </c>
      <c r="O11" s="112">
        <v>2</v>
      </c>
      <c r="P11" s="20">
        <f t="shared" si="0"/>
        <v>2</v>
      </c>
      <c r="Q11" s="20">
        <f t="shared" si="1"/>
        <v>4</v>
      </c>
      <c r="R11" s="54">
        <f>(IF(B8=30,"11",IF(B8=20,"8",IF(B8=25,"9.53",IF(B8=15,"6.46")))))*Q11</f>
        <v>25.84</v>
      </c>
      <c r="S11" s="20" t="s">
        <v>27</v>
      </c>
      <c r="T11" s="113"/>
    </row>
    <row r="12" spans="1:20" x14ac:dyDescent="0.25">
      <c r="A12" s="233"/>
      <c r="B12" s="234"/>
      <c r="C12" s="234"/>
      <c r="D12" s="233"/>
      <c r="E12" s="235"/>
      <c r="F12" s="237"/>
      <c r="G12" s="232"/>
      <c r="H12" s="232"/>
      <c r="I12" s="232"/>
      <c r="J12" s="232"/>
      <c r="K12" s="232"/>
      <c r="L12" s="110" t="s">
        <v>124</v>
      </c>
      <c r="M12" s="111" t="s">
        <v>136</v>
      </c>
      <c r="N12" s="54" t="str">
        <f>IF(B8=30,"70x70,L=1718",IF(B8=20,"70x70,L=1177",IF(B8=25,"70x70,L=1447",IF(B8=15,"70x70,L=906"))))</f>
        <v>70x70,L=906</v>
      </c>
      <c r="O12" s="112">
        <v>1</v>
      </c>
      <c r="P12" s="20">
        <f t="shared" si="0"/>
        <v>1</v>
      </c>
      <c r="Q12" s="20">
        <f t="shared" si="1"/>
        <v>2</v>
      </c>
      <c r="R12" s="54">
        <f>(IF(B8=30,"12.1",IF(B8=20,"8.75",IF(B8=25,"10.42",IF(B8=15,"7")))))*Q12</f>
        <v>14</v>
      </c>
      <c r="S12" s="20" t="s">
        <v>27</v>
      </c>
      <c r="T12" s="113"/>
    </row>
    <row r="13" spans="1:20" x14ac:dyDescent="0.25">
      <c r="A13" s="233"/>
      <c r="B13" s="234"/>
      <c r="C13" s="234"/>
      <c r="D13" s="233"/>
      <c r="E13" s="235"/>
      <c r="F13" s="237"/>
      <c r="G13" s="232"/>
      <c r="H13" s="232"/>
      <c r="I13" s="232"/>
      <c r="J13" s="232"/>
      <c r="K13" s="232"/>
      <c r="L13" s="110" t="s">
        <v>127</v>
      </c>
      <c r="M13" s="111" t="s">
        <v>137</v>
      </c>
      <c r="N13" s="54" t="str">
        <f>IF(B8=30,"3x270x700",IF(B8=20,"3x270x500",IF(B8=25,"3x270x600",IF(B8=15,"3x270x400"))))</f>
        <v>3x270x400</v>
      </c>
      <c r="O13" s="112">
        <v>1</v>
      </c>
      <c r="P13" s="20">
        <f t="shared" si="0"/>
        <v>1</v>
      </c>
      <c r="Q13" s="20">
        <f t="shared" si="1"/>
        <v>2</v>
      </c>
      <c r="R13" s="54">
        <f>(IF(B8=30,"4.45",IF(B8=20,"3.18",IF(B8=25,"3.81",IF(B8=15,"2.54")))))*Q13</f>
        <v>5.08</v>
      </c>
      <c r="S13" s="20" t="s">
        <v>27</v>
      </c>
      <c r="T13" s="113"/>
    </row>
    <row r="14" spans="1:20" ht="28.5" x14ac:dyDescent="0.25">
      <c r="A14" s="233"/>
      <c r="B14" s="234"/>
      <c r="C14" s="234"/>
      <c r="D14" s="233"/>
      <c r="E14" s="235"/>
      <c r="F14" s="237"/>
      <c r="G14" s="232"/>
      <c r="H14" s="232"/>
      <c r="I14" s="232"/>
      <c r="J14" s="232"/>
      <c r="K14" s="232"/>
      <c r="L14" s="110" t="s">
        <v>138</v>
      </c>
      <c r="M14" s="114" t="s">
        <v>139</v>
      </c>
      <c r="N14" s="112" t="s">
        <v>140</v>
      </c>
      <c r="O14" s="112">
        <v>1</v>
      </c>
      <c r="P14" s="20">
        <f t="shared" si="0"/>
        <v>1</v>
      </c>
      <c r="Q14" s="20">
        <f t="shared" si="1"/>
        <v>2</v>
      </c>
      <c r="R14" s="20">
        <f>1.06*Q14</f>
        <v>2.12</v>
      </c>
      <c r="S14" s="20" t="s">
        <v>27</v>
      </c>
      <c r="T14" s="113"/>
    </row>
    <row r="15" spans="1:20" x14ac:dyDescent="0.25">
      <c r="A15" s="233"/>
      <c r="B15" s="234"/>
      <c r="C15" s="234"/>
      <c r="D15" s="233"/>
      <c r="E15" s="235"/>
      <c r="F15" s="237"/>
      <c r="G15" s="232"/>
      <c r="H15" s="232"/>
      <c r="I15" s="232"/>
      <c r="J15" s="232"/>
      <c r="K15" s="232"/>
      <c r="L15" s="110" t="s">
        <v>141</v>
      </c>
      <c r="M15" s="111" t="s">
        <v>142</v>
      </c>
      <c r="N15" s="112" t="s">
        <v>143</v>
      </c>
      <c r="O15" s="112">
        <v>1</v>
      </c>
      <c r="P15" s="20">
        <f t="shared" si="0"/>
        <v>1</v>
      </c>
      <c r="Q15" s="20">
        <f t="shared" si="1"/>
        <v>2</v>
      </c>
      <c r="R15" s="20">
        <f>0.33*Q15</f>
        <v>0.66</v>
      </c>
      <c r="S15" s="20" t="s">
        <v>27</v>
      </c>
      <c r="T15" s="113"/>
    </row>
    <row r="16" spans="1:20" x14ac:dyDescent="0.25">
      <c r="A16" s="233"/>
      <c r="B16" s="234"/>
      <c r="C16" s="234"/>
      <c r="D16" s="233"/>
      <c r="E16" s="235"/>
      <c r="F16" s="237"/>
      <c r="G16" s="232"/>
      <c r="H16" s="232"/>
      <c r="I16" s="232"/>
      <c r="J16" s="232"/>
      <c r="K16" s="232"/>
      <c r="L16" s="110" t="s">
        <v>144</v>
      </c>
      <c r="M16" s="111" t="s">
        <v>145</v>
      </c>
      <c r="N16" s="112" t="s">
        <v>146</v>
      </c>
      <c r="O16" s="112">
        <v>1</v>
      </c>
      <c r="P16" s="20">
        <f t="shared" si="0"/>
        <v>1</v>
      </c>
      <c r="Q16" s="20">
        <f t="shared" si="1"/>
        <v>2</v>
      </c>
      <c r="R16" s="20">
        <f>0.15*Q16</f>
        <v>0.3</v>
      </c>
      <c r="S16" s="20" t="s">
        <v>27</v>
      </c>
      <c r="T16" s="113"/>
    </row>
    <row r="17" spans="1:20" x14ac:dyDescent="0.25">
      <c r="A17" s="233"/>
      <c r="B17" s="234"/>
      <c r="C17" s="234"/>
      <c r="D17" s="233"/>
      <c r="E17" s="235"/>
      <c r="F17" s="237"/>
      <c r="G17" s="232"/>
      <c r="H17" s="232"/>
      <c r="I17" s="232"/>
      <c r="J17" s="232"/>
      <c r="K17" s="232"/>
      <c r="L17" s="110" t="s">
        <v>147</v>
      </c>
      <c r="M17" s="111" t="s">
        <v>148</v>
      </c>
      <c r="N17" s="54" t="str">
        <f>IF(B8=30,"40x40,L=700",IF(B8=20,"40x40,L=500",IF(B8=25,"40x40,L=600",IF(B8=15,"40x40,L=400"))))</f>
        <v>40x40,L=400</v>
      </c>
      <c r="O17" s="112">
        <v>1</v>
      </c>
      <c r="P17" s="20">
        <f t="shared" si="0"/>
        <v>1</v>
      </c>
      <c r="Q17" s="20">
        <f t="shared" si="1"/>
        <v>2</v>
      </c>
      <c r="R17" s="54">
        <f>(IF(B8=30,"1.75",IF(B8=20,"1.25",IF(B8=25,"1.5",IF(B8=15,"1")))))*Q17</f>
        <v>2</v>
      </c>
      <c r="S17" s="20" t="s">
        <v>27</v>
      </c>
      <c r="T17" s="113"/>
    </row>
    <row r="18" spans="1:20" x14ac:dyDescent="0.25">
      <c r="A18" s="233"/>
      <c r="B18" s="234"/>
      <c r="C18" s="234"/>
      <c r="D18" s="233"/>
      <c r="E18" s="235"/>
      <c r="F18" s="237"/>
      <c r="G18" s="232"/>
      <c r="H18" s="232"/>
      <c r="I18" s="232"/>
      <c r="J18" s="232"/>
      <c r="K18" s="232"/>
      <c r="L18" s="110" t="s">
        <v>149</v>
      </c>
      <c r="M18" s="111" t="s">
        <v>150</v>
      </c>
      <c r="N18" s="54" t="str">
        <f>IF(B8=30,"40x40,L=800",IF(B8=20,"40x40,L=600",IF(B8=25,"40x40,L=700",IF(B8=15,"40x40,L=500"))))</f>
        <v>40x40,L=500</v>
      </c>
      <c r="O18" s="112">
        <v>1</v>
      </c>
      <c r="P18" s="20">
        <f t="shared" si="0"/>
        <v>1</v>
      </c>
      <c r="Q18" s="20">
        <f t="shared" si="1"/>
        <v>2</v>
      </c>
      <c r="R18" s="54">
        <f>(IF(B8=30,"2",IF(B8=20,"1.5",IF(B8=25,"1.75",IF(B8=15,"1.25")))))*Q18</f>
        <v>2.5</v>
      </c>
      <c r="S18" s="20" t="s">
        <v>27</v>
      </c>
      <c r="T18" s="113"/>
    </row>
    <row r="19" spans="1:20" x14ac:dyDescent="0.25">
      <c r="A19" s="233"/>
      <c r="B19" s="234"/>
      <c r="C19" s="234"/>
      <c r="D19" s="233"/>
      <c r="E19" s="235"/>
      <c r="F19" s="237"/>
      <c r="G19" s="232"/>
      <c r="H19" s="232"/>
      <c r="I19" s="232"/>
      <c r="J19" s="232"/>
      <c r="K19" s="232"/>
      <c r="L19" s="110" t="s">
        <v>151</v>
      </c>
      <c r="M19" s="111" t="s">
        <v>152</v>
      </c>
      <c r="N19" s="112" t="s">
        <v>153</v>
      </c>
      <c r="O19" s="112">
        <v>1</v>
      </c>
      <c r="P19" s="20">
        <f t="shared" si="0"/>
        <v>1</v>
      </c>
      <c r="Q19" s="20">
        <f t="shared" si="1"/>
        <v>2</v>
      </c>
      <c r="R19" s="20">
        <f>Q19*1.68</f>
        <v>3.36</v>
      </c>
      <c r="S19" s="20" t="s">
        <v>27</v>
      </c>
      <c r="T19" s="113"/>
    </row>
    <row r="20" spans="1:20" x14ac:dyDescent="0.25">
      <c r="A20" s="233"/>
      <c r="B20" s="234"/>
      <c r="C20" s="234"/>
      <c r="D20" s="233"/>
      <c r="E20" s="235"/>
      <c r="F20" s="237"/>
      <c r="G20" s="232"/>
      <c r="H20" s="232"/>
      <c r="I20" s="232"/>
      <c r="J20" s="232"/>
      <c r="K20" s="232"/>
      <c r="L20" s="110" t="s">
        <v>154</v>
      </c>
      <c r="M20" s="111" t="s">
        <v>155</v>
      </c>
      <c r="N20" s="112" t="s">
        <v>156</v>
      </c>
      <c r="O20" s="112">
        <v>3</v>
      </c>
      <c r="P20" s="20">
        <f t="shared" si="0"/>
        <v>3</v>
      </c>
      <c r="Q20" s="20">
        <f t="shared" si="1"/>
        <v>6</v>
      </c>
      <c r="R20" s="20">
        <f>0.126*Q20</f>
        <v>0.75600000000000001</v>
      </c>
      <c r="S20" s="20" t="s">
        <v>27</v>
      </c>
      <c r="T20" s="113"/>
    </row>
    <row r="21" spans="1:20" x14ac:dyDescent="0.25">
      <c r="A21" s="233"/>
      <c r="B21" s="234"/>
      <c r="C21" s="234"/>
      <c r="D21" s="233"/>
      <c r="E21" s="235"/>
      <c r="F21" s="237"/>
      <c r="G21" s="232"/>
      <c r="H21" s="232"/>
      <c r="I21" s="232"/>
      <c r="J21" s="232"/>
      <c r="K21" s="232"/>
      <c r="L21" s="110" t="s">
        <v>157</v>
      </c>
      <c r="M21" s="111" t="s">
        <v>158</v>
      </c>
      <c r="N21" s="112" t="s">
        <v>159</v>
      </c>
      <c r="O21" s="112">
        <v>2</v>
      </c>
      <c r="P21" s="20">
        <f t="shared" si="0"/>
        <v>2</v>
      </c>
      <c r="Q21" s="20">
        <f t="shared" si="1"/>
        <v>4</v>
      </c>
      <c r="R21" s="20">
        <f>Q21*0.1</f>
        <v>0.4</v>
      </c>
      <c r="S21" s="20" t="s">
        <v>27</v>
      </c>
      <c r="T21" s="115"/>
    </row>
    <row r="22" spans="1:20" x14ac:dyDescent="0.25">
      <c r="A22" s="233"/>
      <c r="B22" s="234"/>
      <c r="C22" s="234"/>
      <c r="D22" s="233"/>
      <c r="E22" s="235"/>
      <c r="F22" s="237"/>
      <c r="G22" s="232"/>
      <c r="H22" s="232"/>
      <c r="I22" s="232"/>
      <c r="J22" s="232"/>
      <c r="K22" s="232"/>
      <c r="L22" s="110">
        <v>15</v>
      </c>
      <c r="M22" s="111" t="s">
        <v>160</v>
      </c>
      <c r="N22" s="112" t="s">
        <v>161</v>
      </c>
      <c r="O22" s="112">
        <v>1</v>
      </c>
      <c r="P22" s="20">
        <f t="shared" si="0"/>
        <v>1</v>
      </c>
      <c r="Q22" s="20">
        <f t="shared" si="1"/>
        <v>2</v>
      </c>
      <c r="R22" s="20">
        <f>Q22*0.254</f>
        <v>0.50800000000000001</v>
      </c>
      <c r="S22" s="20" t="s">
        <v>27</v>
      </c>
      <c r="T22" s="113"/>
    </row>
    <row r="23" spans="1:20" x14ac:dyDescent="0.25">
      <c r="A23" s="233"/>
      <c r="B23" s="234"/>
      <c r="C23" s="234"/>
      <c r="D23" s="233"/>
      <c r="E23" s="235"/>
      <c r="F23" s="237"/>
      <c r="G23" s="232"/>
      <c r="H23" s="232"/>
      <c r="I23" s="232"/>
      <c r="J23" s="232"/>
      <c r="K23" s="232"/>
      <c r="L23" s="110">
        <v>16</v>
      </c>
      <c r="M23" s="116" t="s">
        <v>162</v>
      </c>
      <c r="N23" s="117" t="s">
        <v>163</v>
      </c>
      <c r="O23" s="112">
        <v>2</v>
      </c>
      <c r="P23" s="20">
        <f t="shared" si="0"/>
        <v>2</v>
      </c>
      <c r="Q23" s="20">
        <f t="shared" si="1"/>
        <v>4</v>
      </c>
      <c r="R23" s="20">
        <f>Q23*0.088</f>
        <v>0.35199999999999998</v>
      </c>
      <c r="S23" s="20" t="s">
        <v>27</v>
      </c>
      <c r="T23" s="113"/>
    </row>
    <row r="24" spans="1:20" x14ac:dyDescent="0.25">
      <c r="J24" s="106"/>
      <c r="K24" s="106"/>
    </row>
    <row r="35" spans="1:20" ht="19.5" x14ac:dyDescent="0.25">
      <c r="A35" s="186" t="s">
        <v>0</v>
      </c>
      <c r="B35" s="187"/>
      <c r="C35" s="187"/>
      <c r="D35" s="1"/>
      <c r="E35" s="2"/>
      <c r="F35" s="2" t="s">
        <v>1</v>
      </c>
      <c r="G35" s="3"/>
      <c r="H35" s="2"/>
      <c r="I35" s="2" t="s">
        <v>2</v>
      </c>
      <c r="J35" s="2"/>
      <c r="K35" s="3"/>
      <c r="L35" s="1"/>
      <c r="M35" s="2"/>
      <c r="N35" s="4" t="s">
        <v>3</v>
      </c>
      <c r="O35" s="2"/>
      <c r="P35" s="2"/>
      <c r="Q35" s="2"/>
      <c r="R35" s="5"/>
      <c r="S35" s="5"/>
      <c r="T35" s="6" t="s">
        <v>4</v>
      </c>
    </row>
    <row r="36" spans="1:20" ht="50.25" customHeight="1" x14ac:dyDescent="0.25">
      <c r="A36" s="118" t="s">
        <v>5</v>
      </c>
      <c r="B36" s="118" t="s">
        <v>6</v>
      </c>
      <c r="C36" s="119" t="s">
        <v>7</v>
      </c>
      <c r="D36" s="119" t="s">
        <v>8</v>
      </c>
      <c r="E36" s="120" t="s">
        <v>9</v>
      </c>
      <c r="F36" s="119" t="s">
        <v>10</v>
      </c>
      <c r="G36" s="119" t="s">
        <v>7</v>
      </c>
      <c r="H36" s="119" t="s">
        <v>11</v>
      </c>
      <c r="I36" s="119" t="s">
        <v>9</v>
      </c>
      <c r="J36" s="118" t="s">
        <v>12</v>
      </c>
      <c r="K36" s="119" t="s">
        <v>13</v>
      </c>
      <c r="L36" s="121" t="s">
        <v>14</v>
      </c>
      <c r="M36" s="120" t="s">
        <v>9</v>
      </c>
      <c r="N36" s="120" t="s">
        <v>15</v>
      </c>
      <c r="O36" s="119" t="s">
        <v>16</v>
      </c>
      <c r="P36" s="119" t="s">
        <v>10</v>
      </c>
      <c r="Q36" s="122" t="s">
        <v>7</v>
      </c>
      <c r="R36" s="122" t="s">
        <v>17</v>
      </c>
      <c r="S36" s="122" t="s">
        <v>18</v>
      </c>
      <c r="T36" s="119" t="s">
        <v>19</v>
      </c>
    </row>
    <row r="37" spans="1:20" ht="14.25" customHeight="1" x14ac:dyDescent="0.25">
      <c r="A37" s="238" t="s">
        <v>20</v>
      </c>
      <c r="B37" s="241">
        <f>درام!B8</f>
        <v>15</v>
      </c>
      <c r="C37" s="236" t="s">
        <v>22</v>
      </c>
      <c r="D37" s="236" t="s">
        <v>37</v>
      </c>
      <c r="E37" s="236" t="s">
        <v>130</v>
      </c>
      <c r="F37" s="236" t="s">
        <v>22</v>
      </c>
      <c r="G37" s="248">
        <f>F37*C37</f>
        <v>1</v>
      </c>
      <c r="H37" s="229" t="s">
        <v>23</v>
      </c>
      <c r="I37" s="229" t="s">
        <v>130</v>
      </c>
      <c r="J37" s="229">
        <v>1</v>
      </c>
      <c r="K37" s="229">
        <v>2</v>
      </c>
      <c r="L37" s="82" t="s">
        <v>164</v>
      </c>
      <c r="M37" s="123" t="s">
        <v>165</v>
      </c>
      <c r="N37" s="124" t="s">
        <v>166</v>
      </c>
      <c r="O37" s="15">
        <v>2</v>
      </c>
      <c r="P37" s="15">
        <f>O37*$F$37</f>
        <v>2</v>
      </c>
      <c r="Q37" s="15">
        <f>P37*C$37</f>
        <v>2</v>
      </c>
      <c r="R37" s="15">
        <f>Q37</f>
        <v>2</v>
      </c>
      <c r="S37" s="18" t="s">
        <v>54</v>
      </c>
      <c r="T37" s="21"/>
    </row>
    <row r="38" spans="1:20" ht="14.25" customHeight="1" x14ac:dyDescent="0.25">
      <c r="A38" s="239"/>
      <c r="B38" s="242"/>
      <c r="C38" s="218"/>
      <c r="D38" s="218"/>
      <c r="E38" s="218"/>
      <c r="F38" s="218"/>
      <c r="G38" s="216"/>
      <c r="H38" s="229"/>
      <c r="I38" s="229"/>
      <c r="J38" s="229"/>
      <c r="K38" s="229"/>
      <c r="L38" s="82" t="s">
        <v>167</v>
      </c>
      <c r="M38" s="123" t="s">
        <v>168</v>
      </c>
      <c r="N38" s="124" t="s">
        <v>169</v>
      </c>
      <c r="O38" s="15">
        <v>2</v>
      </c>
      <c r="P38" s="15">
        <f t="shared" ref="P38:P49" si="2">O38*$F$37</f>
        <v>2</v>
      </c>
      <c r="Q38" s="15">
        <f t="shared" ref="Q38:Q49" si="3">P38*C$37</f>
        <v>2</v>
      </c>
      <c r="R38" s="15">
        <f t="shared" ref="R38:R49" si="4">Q38</f>
        <v>2</v>
      </c>
      <c r="S38" s="18" t="s">
        <v>54</v>
      </c>
      <c r="T38" s="21"/>
    </row>
    <row r="39" spans="1:20" ht="14.25" customHeight="1" x14ac:dyDescent="0.25">
      <c r="A39" s="239"/>
      <c r="B39" s="242"/>
      <c r="C39" s="218"/>
      <c r="D39" s="218"/>
      <c r="E39" s="218"/>
      <c r="F39" s="218"/>
      <c r="G39" s="216"/>
      <c r="H39" s="229"/>
      <c r="I39" s="229"/>
      <c r="J39" s="229"/>
      <c r="K39" s="229"/>
      <c r="L39" s="82" t="s">
        <v>170</v>
      </c>
      <c r="M39" s="123" t="s">
        <v>171</v>
      </c>
      <c r="N39" s="124" t="s">
        <v>172</v>
      </c>
      <c r="O39" s="15">
        <v>4</v>
      </c>
      <c r="P39" s="15">
        <f t="shared" si="2"/>
        <v>4</v>
      </c>
      <c r="Q39" s="15">
        <f t="shared" si="3"/>
        <v>4</v>
      </c>
      <c r="R39" s="15">
        <f t="shared" si="4"/>
        <v>4</v>
      </c>
      <c r="S39" s="18" t="s">
        <v>54</v>
      </c>
      <c r="T39" s="21"/>
    </row>
    <row r="40" spans="1:20" ht="14.25" customHeight="1" x14ac:dyDescent="0.25">
      <c r="A40" s="239"/>
      <c r="B40" s="242"/>
      <c r="C40" s="218"/>
      <c r="D40" s="218"/>
      <c r="E40" s="218"/>
      <c r="F40" s="218"/>
      <c r="G40" s="216"/>
      <c r="H40" s="205"/>
      <c r="I40" s="205"/>
      <c r="J40" s="205"/>
      <c r="K40" s="205"/>
      <c r="L40" s="82" t="s">
        <v>173</v>
      </c>
      <c r="M40" s="123" t="s">
        <v>174</v>
      </c>
      <c r="N40" s="124" t="s">
        <v>172</v>
      </c>
      <c r="O40" s="15">
        <v>2</v>
      </c>
      <c r="P40" s="15">
        <f t="shared" si="2"/>
        <v>2</v>
      </c>
      <c r="Q40" s="15">
        <f t="shared" si="3"/>
        <v>2</v>
      </c>
      <c r="R40" s="15">
        <f t="shared" si="4"/>
        <v>2</v>
      </c>
      <c r="S40" s="18" t="s">
        <v>54</v>
      </c>
      <c r="T40" s="125"/>
    </row>
    <row r="41" spans="1:20" ht="14.25" customHeight="1" x14ac:dyDescent="0.25">
      <c r="A41" s="239"/>
      <c r="B41" s="242"/>
      <c r="C41" s="218"/>
      <c r="D41" s="218"/>
      <c r="E41" s="218"/>
      <c r="F41" s="218"/>
      <c r="G41" s="216"/>
      <c r="H41" s="205"/>
      <c r="I41" s="205"/>
      <c r="J41" s="205"/>
      <c r="K41" s="205"/>
      <c r="L41" s="126" t="s">
        <v>175</v>
      </c>
      <c r="M41" s="127" t="s">
        <v>176</v>
      </c>
      <c r="N41" s="127" t="s">
        <v>177</v>
      </c>
      <c r="O41" s="128">
        <v>1</v>
      </c>
      <c r="P41" s="128">
        <f t="shared" si="2"/>
        <v>1</v>
      </c>
      <c r="Q41" s="128">
        <f t="shared" si="3"/>
        <v>1</v>
      </c>
      <c r="R41" s="128">
        <f t="shared" si="4"/>
        <v>1</v>
      </c>
      <c r="S41" s="128" t="s">
        <v>54</v>
      </c>
      <c r="T41" s="125"/>
    </row>
    <row r="42" spans="1:20" ht="14.25" customHeight="1" thickBot="1" x14ac:dyDescent="0.3">
      <c r="A42" s="239"/>
      <c r="B42" s="242"/>
      <c r="C42" s="218"/>
      <c r="D42" s="218"/>
      <c r="E42" s="218"/>
      <c r="F42" s="218"/>
      <c r="G42" s="216"/>
      <c r="H42" s="244"/>
      <c r="I42" s="244"/>
      <c r="J42" s="244"/>
      <c r="K42" s="244"/>
      <c r="L42" s="88" t="s">
        <v>178</v>
      </c>
      <c r="M42" s="129" t="s">
        <v>179</v>
      </c>
      <c r="N42" s="129" t="s">
        <v>180</v>
      </c>
      <c r="O42" s="130">
        <v>1</v>
      </c>
      <c r="P42" s="130">
        <f t="shared" si="2"/>
        <v>1</v>
      </c>
      <c r="Q42" s="130">
        <f t="shared" si="3"/>
        <v>1</v>
      </c>
      <c r="R42" s="130">
        <f t="shared" si="4"/>
        <v>1</v>
      </c>
      <c r="S42" s="130" t="s">
        <v>54</v>
      </c>
      <c r="T42" s="27"/>
    </row>
    <row r="43" spans="1:20" ht="14.25" customHeight="1" thickBot="1" x14ac:dyDescent="0.3">
      <c r="A43" s="239"/>
      <c r="B43" s="242"/>
      <c r="C43" s="218"/>
      <c r="D43" s="218"/>
      <c r="E43" s="218"/>
      <c r="F43" s="218"/>
      <c r="G43" s="216"/>
      <c r="H43" s="131" t="s">
        <v>64</v>
      </c>
      <c r="I43" s="131" t="s">
        <v>115</v>
      </c>
      <c r="J43" s="131" t="s">
        <v>64</v>
      </c>
      <c r="K43" s="131" t="s">
        <v>64</v>
      </c>
      <c r="L43" s="132" t="s">
        <v>22</v>
      </c>
      <c r="M43" s="133" t="s">
        <v>115</v>
      </c>
      <c r="N43" s="134" t="s">
        <v>116</v>
      </c>
      <c r="O43" s="135">
        <v>1</v>
      </c>
      <c r="P43" s="135">
        <f t="shared" si="2"/>
        <v>1</v>
      </c>
      <c r="Q43" s="135">
        <f t="shared" si="3"/>
        <v>1</v>
      </c>
      <c r="R43" s="135">
        <f t="shared" si="4"/>
        <v>1</v>
      </c>
      <c r="S43" s="135" t="s">
        <v>54</v>
      </c>
      <c r="T43" s="136"/>
    </row>
    <row r="44" spans="1:20" ht="14.25" customHeight="1" x14ac:dyDescent="0.25">
      <c r="A44" s="239"/>
      <c r="B44" s="242"/>
      <c r="C44" s="218"/>
      <c r="D44" s="218"/>
      <c r="E44" s="218"/>
      <c r="F44" s="218"/>
      <c r="G44" s="216"/>
      <c r="H44" s="203" t="s">
        <v>37</v>
      </c>
      <c r="I44" s="245" t="s">
        <v>77</v>
      </c>
      <c r="J44" s="203">
        <v>1</v>
      </c>
      <c r="K44" s="203">
        <v>2</v>
      </c>
      <c r="L44" s="137" t="s">
        <v>22</v>
      </c>
      <c r="M44" s="138" t="s">
        <v>125</v>
      </c>
      <c r="N44" s="138" t="s">
        <v>126</v>
      </c>
      <c r="O44" s="139">
        <v>6</v>
      </c>
      <c r="P44" s="139">
        <f t="shared" si="2"/>
        <v>6</v>
      </c>
      <c r="Q44" s="139">
        <f t="shared" si="3"/>
        <v>6</v>
      </c>
      <c r="R44" s="139">
        <f t="shared" si="4"/>
        <v>6</v>
      </c>
      <c r="S44" s="139" t="s">
        <v>54</v>
      </c>
      <c r="T44" s="125"/>
    </row>
    <row r="45" spans="1:20" ht="14.25" customHeight="1" x14ac:dyDescent="0.25">
      <c r="A45" s="239"/>
      <c r="B45" s="242"/>
      <c r="C45" s="218"/>
      <c r="D45" s="218"/>
      <c r="E45" s="218"/>
      <c r="F45" s="218"/>
      <c r="G45" s="216"/>
      <c r="H45" s="189"/>
      <c r="I45" s="246"/>
      <c r="J45" s="189"/>
      <c r="K45" s="189"/>
      <c r="L45" s="100" t="s">
        <v>28</v>
      </c>
      <c r="M45" s="124" t="s">
        <v>128</v>
      </c>
      <c r="N45" s="124" t="s">
        <v>129</v>
      </c>
      <c r="O45" s="80">
        <v>6</v>
      </c>
      <c r="P45" s="80">
        <f t="shared" si="2"/>
        <v>6</v>
      </c>
      <c r="Q45" s="80">
        <f t="shared" si="3"/>
        <v>6</v>
      </c>
      <c r="R45" s="80">
        <f t="shared" si="4"/>
        <v>6</v>
      </c>
      <c r="S45" s="80" t="s">
        <v>54</v>
      </c>
      <c r="T45" s="67"/>
    </row>
    <row r="46" spans="1:20" ht="14.25" customHeight="1" x14ac:dyDescent="0.25">
      <c r="A46" s="239"/>
      <c r="B46" s="242"/>
      <c r="C46" s="218"/>
      <c r="D46" s="218"/>
      <c r="E46" s="218"/>
      <c r="F46" s="218"/>
      <c r="G46" s="216"/>
      <c r="H46" s="189"/>
      <c r="I46" s="246"/>
      <c r="J46" s="189"/>
      <c r="K46" s="189"/>
      <c r="L46" s="100" t="s">
        <v>31</v>
      </c>
      <c r="M46" s="140" t="s">
        <v>181</v>
      </c>
      <c r="N46" s="141" t="s">
        <v>118</v>
      </c>
      <c r="O46" s="142">
        <v>2</v>
      </c>
      <c r="P46" s="142">
        <f t="shared" si="2"/>
        <v>2</v>
      </c>
      <c r="Q46" s="142">
        <f t="shared" si="3"/>
        <v>2</v>
      </c>
      <c r="R46" s="142">
        <f t="shared" si="4"/>
        <v>2</v>
      </c>
      <c r="S46" s="142" t="s">
        <v>54</v>
      </c>
      <c r="T46" s="56"/>
    </row>
    <row r="47" spans="1:20" ht="14.25" customHeight="1" x14ac:dyDescent="0.25">
      <c r="A47" s="239"/>
      <c r="B47" s="242"/>
      <c r="C47" s="218"/>
      <c r="D47" s="218"/>
      <c r="E47" s="218"/>
      <c r="F47" s="218"/>
      <c r="G47" s="216"/>
      <c r="H47" s="189"/>
      <c r="I47" s="246"/>
      <c r="J47" s="189"/>
      <c r="K47" s="189"/>
      <c r="L47" s="82" t="s">
        <v>34</v>
      </c>
      <c r="M47" s="123" t="s">
        <v>182</v>
      </c>
      <c r="N47" s="143" t="s">
        <v>120</v>
      </c>
      <c r="O47" s="80">
        <v>2</v>
      </c>
      <c r="P47" s="80">
        <f t="shared" si="2"/>
        <v>2</v>
      </c>
      <c r="Q47" s="80">
        <f t="shared" si="3"/>
        <v>2</v>
      </c>
      <c r="R47" s="80">
        <f t="shared" si="4"/>
        <v>2</v>
      </c>
      <c r="S47" s="80" t="s">
        <v>54</v>
      </c>
      <c r="T47" s="21"/>
    </row>
    <row r="48" spans="1:20" ht="14.25" customHeight="1" x14ac:dyDescent="0.25">
      <c r="A48" s="239"/>
      <c r="B48" s="242"/>
      <c r="C48" s="218"/>
      <c r="D48" s="218"/>
      <c r="E48" s="218"/>
      <c r="F48" s="218"/>
      <c r="G48" s="216"/>
      <c r="H48" s="189"/>
      <c r="I48" s="246"/>
      <c r="J48" s="189"/>
      <c r="K48" s="189"/>
      <c r="L48" s="82" t="s">
        <v>124</v>
      </c>
      <c r="M48" s="123" t="s">
        <v>183</v>
      </c>
      <c r="N48" s="143" t="s">
        <v>122</v>
      </c>
      <c r="O48" s="80">
        <v>2</v>
      </c>
      <c r="P48" s="80">
        <f t="shared" si="2"/>
        <v>2</v>
      </c>
      <c r="Q48" s="80">
        <f t="shared" si="3"/>
        <v>2</v>
      </c>
      <c r="R48" s="80">
        <f t="shared" si="4"/>
        <v>2</v>
      </c>
      <c r="S48" s="80" t="s">
        <v>54</v>
      </c>
      <c r="T48" s="21"/>
    </row>
    <row r="49" spans="1:20" ht="14.25" customHeight="1" x14ac:dyDescent="0.25">
      <c r="A49" s="240"/>
      <c r="B49" s="243"/>
      <c r="C49" s="219"/>
      <c r="D49" s="219"/>
      <c r="E49" s="219"/>
      <c r="F49" s="219"/>
      <c r="G49" s="217"/>
      <c r="H49" s="190"/>
      <c r="I49" s="247"/>
      <c r="J49" s="190"/>
      <c r="K49" s="190"/>
      <c r="L49" s="82" t="s">
        <v>127</v>
      </c>
      <c r="M49" s="123" t="s">
        <v>184</v>
      </c>
      <c r="N49" s="143" t="s">
        <v>122</v>
      </c>
      <c r="O49" s="80">
        <v>2</v>
      </c>
      <c r="P49" s="80">
        <f t="shared" si="2"/>
        <v>2</v>
      </c>
      <c r="Q49" s="80">
        <f t="shared" si="3"/>
        <v>2</v>
      </c>
      <c r="R49" s="80">
        <f t="shared" si="4"/>
        <v>2</v>
      </c>
      <c r="S49" s="80" t="s">
        <v>54</v>
      </c>
      <c r="T49" s="21"/>
    </row>
  </sheetData>
  <mergeCells count="28">
    <mergeCell ref="K37:K42"/>
    <mergeCell ref="H44:H49"/>
    <mergeCell ref="I44:I49"/>
    <mergeCell ref="J44:J49"/>
    <mergeCell ref="K44:K49"/>
    <mergeCell ref="H37:H42"/>
    <mergeCell ref="I37:I42"/>
    <mergeCell ref="J37:J42"/>
    <mergeCell ref="A35:C35"/>
    <mergeCell ref="A37:A49"/>
    <mergeCell ref="B37:B49"/>
    <mergeCell ref="C37:C49"/>
    <mergeCell ref="D37:D49"/>
    <mergeCell ref="E37:E49"/>
    <mergeCell ref="F8:F23"/>
    <mergeCell ref="G8:G23"/>
    <mergeCell ref="H8:H23"/>
    <mergeCell ref="I8:I23"/>
    <mergeCell ref="F37:F49"/>
    <mergeCell ref="G37:G49"/>
    <mergeCell ref="J8:J23"/>
    <mergeCell ref="K8:K23"/>
    <mergeCell ref="A6:C6"/>
    <mergeCell ref="A8:A23"/>
    <mergeCell ref="B8:B23"/>
    <mergeCell ref="C8:C23"/>
    <mergeCell ref="D8:D23"/>
    <mergeCell ref="E8:E23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4"/>
  <sheetViews>
    <sheetView view="pageLayout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9" customHeight="1" x14ac:dyDescent="0.25"/>
    <row r="6" spans="1:20" ht="19.5" x14ac:dyDescent="0.25">
      <c r="A6" s="186" t="s">
        <v>0</v>
      </c>
      <c r="B6" s="187"/>
      <c r="C6" s="187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50.2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119" t="s">
        <v>9</v>
      </c>
      <c r="J7" s="7" t="s">
        <v>12</v>
      </c>
      <c r="K7" s="8" t="s">
        <v>13</v>
      </c>
      <c r="L7" s="11" t="s">
        <v>14</v>
      </c>
      <c r="M7" s="120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119" t="s">
        <v>19</v>
      </c>
    </row>
    <row r="8" spans="1:20" ht="14.25" customHeight="1" x14ac:dyDescent="0.25">
      <c r="A8" s="250" t="s">
        <v>20</v>
      </c>
      <c r="B8" s="196">
        <f>درام!B8</f>
        <v>15</v>
      </c>
      <c r="C8" s="251">
        <v>2</v>
      </c>
      <c r="D8" s="250" t="s">
        <v>20</v>
      </c>
      <c r="E8" s="249" t="s">
        <v>185</v>
      </c>
      <c r="F8" s="229" t="s">
        <v>22</v>
      </c>
      <c r="G8" s="252">
        <f>F8*C8</f>
        <v>2</v>
      </c>
      <c r="H8" s="144" t="s">
        <v>64</v>
      </c>
      <c r="I8" s="145" t="s">
        <v>186</v>
      </c>
      <c r="J8" s="144" t="s">
        <v>64</v>
      </c>
      <c r="K8" s="144" t="s">
        <v>64</v>
      </c>
      <c r="L8" s="82" t="s">
        <v>22</v>
      </c>
      <c r="M8" s="145" t="s">
        <v>186</v>
      </c>
      <c r="N8" s="146" t="s">
        <v>187</v>
      </c>
      <c r="O8" s="17">
        <v>1</v>
      </c>
      <c r="P8" s="17">
        <f>O8*$F$8</f>
        <v>1</v>
      </c>
      <c r="Q8" s="17">
        <f>P8*$C$8</f>
        <v>2</v>
      </c>
      <c r="R8" s="147">
        <f>15.7*$Q$8</f>
        <v>31.4</v>
      </c>
      <c r="S8" s="15" t="s">
        <v>27</v>
      </c>
      <c r="T8" s="72"/>
    </row>
    <row r="9" spans="1:20" ht="14.25" customHeight="1" x14ac:dyDescent="0.25">
      <c r="A9" s="250"/>
      <c r="B9" s="197"/>
      <c r="C9" s="251"/>
      <c r="D9" s="250"/>
      <c r="E9" s="249"/>
      <c r="F9" s="229"/>
      <c r="G9" s="252"/>
      <c r="H9" s="148" t="s">
        <v>64</v>
      </c>
      <c r="I9" s="149" t="s">
        <v>188</v>
      </c>
      <c r="J9" s="144" t="s">
        <v>64</v>
      </c>
      <c r="K9" s="144" t="s">
        <v>64</v>
      </c>
      <c r="L9" s="100" t="s">
        <v>28</v>
      </c>
      <c r="M9" s="149" t="s">
        <v>188</v>
      </c>
      <c r="N9" s="146" t="s">
        <v>187</v>
      </c>
      <c r="O9" s="17">
        <v>1</v>
      </c>
      <c r="P9" s="17">
        <f t="shared" ref="P9:P24" si="0">O9*$F$8</f>
        <v>1</v>
      </c>
      <c r="Q9" s="17">
        <f t="shared" ref="Q9:R24" si="1">P9*$C$8</f>
        <v>2</v>
      </c>
      <c r="R9" s="147">
        <f t="shared" ref="R9:R11" si="2">15.7*$Q$8</f>
        <v>31.4</v>
      </c>
      <c r="S9" s="15" t="s">
        <v>27</v>
      </c>
      <c r="T9" s="72"/>
    </row>
    <row r="10" spans="1:20" ht="14.25" customHeight="1" x14ac:dyDescent="0.25">
      <c r="A10" s="250"/>
      <c r="B10" s="197"/>
      <c r="C10" s="251"/>
      <c r="D10" s="250"/>
      <c r="E10" s="249"/>
      <c r="F10" s="229"/>
      <c r="G10" s="252"/>
      <c r="H10" s="148" t="s">
        <v>64</v>
      </c>
      <c r="I10" s="149" t="s">
        <v>189</v>
      </c>
      <c r="J10" s="144" t="s">
        <v>64</v>
      </c>
      <c r="K10" s="144" t="s">
        <v>64</v>
      </c>
      <c r="L10" s="82" t="s">
        <v>31</v>
      </c>
      <c r="M10" s="149" t="s">
        <v>189</v>
      </c>
      <c r="N10" s="146" t="s">
        <v>187</v>
      </c>
      <c r="O10" s="17">
        <v>1</v>
      </c>
      <c r="P10" s="17">
        <f t="shared" si="0"/>
        <v>1</v>
      </c>
      <c r="Q10" s="17">
        <f t="shared" si="1"/>
        <v>2</v>
      </c>
      <c r="R10" s="147">
        <f t="shared" si="2"/>
        <v>31.4</v>
      </c>
      <c r="S10" s="15" t="s">
        <v>27</v>
      </c>
      <c r="T10" s="72"/>
    </row>
    <row r="11" spans="1:20" ht="14.25" customHeight="1" x14ac:dyDescent="0.25">
      <c r="A11" s="250"/>
      <c r="B11" s="197"/>
      <c r="C11" s="251"/>
      <c r="D11" s="250"/>
      <c r="E11" s="249"/>
      <c r="F11" s="229"/>
      <c r="G11" s="252"/>
      <c r="H11" s="148" t="s">
        <v>64</v>
      </c>
      <c r="I11" s="149" t="s">
        <v>190</v>
      </c>
      <c r="J11" s="144" t="s">
        <v>64</v>
      </c>
      <c r="K11" s="144" t="s">
        <v>64</v>
      </c>
      <c r="L11" s="82" t="s">
        <v>34</v>
      </c>
      <c r="M11" s="149" t="s">
        <v>190</v>
      </c>
      <c r="N11" s="146" t="s">
        <v>187</v>
      </c>
      <c r="O11" s="17">
        <v>1</v>
      </c>
      <c r="P11" s="17">
        <f t="shared" si="0"/>
        <v>1</v>
      </c>
      <c r="Q11" s="17">
        <f t="shared" si="1"/>
        <v>2</v>
      </c>
      <c r="R11" s="147">
        <f t="shared" si="2"/>
        <v>31.4</v>
      </c>
      <c r="S11" s="15" t="s">
        <v>27</v>
      </c>
      <c r="T11" s="72"/>
    </row>
    <row r="12" spans="1:20" ht="14.25" customHeight="1" x14ac:dyDescent="0.25">
      <c r="A12" s="250"/>
      <c r="B12" s="197"/>
      <c r="C12" s="251"/>
      <c r="D12" s="250"/>
      <c r="E12" s="249"/>
      <c r="F12" s="229"/>
      <c r="G12" s="252"/>
      <c r="H12" s="150" t="s">
        <v>64</v>
      </c>
      <c r="I12" s="149" t="s">
        <v>191</v>
      </c>
      <c r="J12" s="150" t="s">
        <v>64</v>
      </c>
      <c r="K12" s="144" t="s">
        <v>64</v>
      </c>
      <c r="L12" s="100" t="s">
        <v>124</v>
      </c>
      <c r="M12" s="149" t="s">
        <v>191</v>
      </c>
      <c r="N12" s="151" t="s">
        <v>192</v>
      </c>
      <c r="O12" s="17">
        <v>1</v>
      </c>
      <c r="P12" s="17">
        <f t="shared" si="0"/>
        <v>1</v>
      </c>
      <c r="Q12" s="17">
        <f t="shared" si="1"/>
        <v>2</v>
      </c>
      <c r="R12" s="147">
        <f>7.85*$Q$8</f>
        <v>15.7</v>
      </c>
      <c r="S12" s="15" t="s">
        <v>27</v>
      </c>
      <c r="T12" s="72"/>
    </row>
    <row r="13" spans="1:20" ht="14.25" customHeight="1" x14ac:dyDescent="0.25">
      <c r="A13" s="250"/>
      <c r="B13" s="197"/>
      <c r="C13" s="251"/>
      <c r="D13" s="250"/>
      <c r="E13" s="249"/>
      <c r="F13" s="229"/>
      <c r="G13" s="252"/>
      <c r="H13" s="150" t="s">
        <v>64</v>
      </c>
      <c r="I13" s="149" t="s">
        <v>193</v>
      </c>
      <c r="J13" s="150" t="s">
        <v>64</v>
      </c>
      <c r="K13" s="144" t="s">
        <v>64</v>
      </c>
      <c r="L13" s="100" t="s">
        <v>127</v>
      </c>
      <c r="M13" s="149" t="s">
        <v>193</v>
      </c>
      <c r="N13" s="151" t="s">
        <v>192</v>
      </c>
      <c r="O13" s="17">
        <v>1</v>
      </c>
      <c r="P13" s="17">
        <f t="shared" si="0"/>
        <v>1</v>
      </c>
      <c r="Q13" s="17">
        <f t="shared" si="1"/>
        <v>2</v>
      </c>
      <c r="R13" s="147">
        <f t="shared" ref="R13:R15" si="3">7.85*$Q$8</f>
        <v>15.7</v>
      </c>
      <c r="S13" s="15" t="s">
        <v>27</v>
      </c>
      <c r="T13" s="72"/>
    </row>
    <row r="14" spans="1:20" ht="14.25" customHeight="1" x14ac:dyDescent="0.25">
      <c r="A14" s="250"/>
      <c r="B14" s="197"/>
      <c r="C14" s="251"/>
      <c r="D14" s="250"/>
      <c r="E14" s="249"/>
      <c r="F14" s="229"/>
      <c r="G14" s="252"/>
      <c r="H14" s="150" t="s">
        <v>64</v>
      </c>
      <c r="I14" s="149" t="s">
        <v>194</v>
      </c>
      <c r="J14" s="150" t="s">
        <v>64</v>
      </c>
      <c r="K14" s="144" t="s">
        <v>64</v>
      </c>
      <c r="L14" s="100" t="s">
        <v>138</v>
      </c>
      <c r="M14" s="149" t="s">
        <v>194</v>
      </c>
      <c r="N14" s="151" t="s">
        <v>192</v>
      </c>
      <c r="O14" s="17">
        <v>1</v>
      </c>
      <c r="P14" s="17">
        <f t="shared" si="0"/>
        <v>1</v>
      </c>
      <c r="Q14" s="17">
        <f t="shared" si="1"/>
        <v>2</v>
      </c>
      <c r="R14" s="147">
        <f t="shared" si="3"/>
        <v>15.7</v>
      </c>
      <c r="S14" s="15" t="s">
        <v>27</v>
      </c>
      <c r="T14" s="72"/>
    </row>
    <row r="15" spans="1:20" ht="14.25" customHeight="1" x14ac:dyDescent="0.25">
      <c r="A15" s="250"/>
      <c r="B15" s="197"/>
      <c r="C15" s="251"/>
      <c r="D15" s="250"/>
      <c r="E15" s="249"/>
      <c r="F15" s="229"/>
      <c r="G15" s="252"/>
      <c r="H15" s="150" t="s">
        <v>64</v>
      </c>
      <c r="I15" s="149" t="s">
        <v>195</v>
      </c>
      <c r="J15" s="150" t="s">
        <v>64</v>
      </c>
      <c r="K15" s="144" t="s">
        <v>64</v>
      </c>
      <c r="L15" s="100" t="s">
        <v>141</v>
      </c>
      <c r="M15" s="149" t="s">
        <v>195</v>
      </c>
      <c r="N15" s="151" t="s">
        <v>192</v>
      </c>
      <c r="O15" s="17">
        <v>1</v>
      </c>
      <c r="P15" s="17">
        <f t="shared" si="0"/>
        <v>1</v>
      </c>
      <c r="Q15" s="17">
        <f t="shared" si="1"/>
        <v>2</v>
      </c>
      <c r="R15" s="147">
        <f t="shared" si="3"/>
        <v>15.7</v>
      </c>
      <c r="S15" s="15" t="s">
        <v>27</v>
      </c>
      <c r="T15" s="72"/>
    </row>
    <row r="16" spans="1:20" ht="14.25" customHeight="1" x14ac:dyDescent="0.25">
      <c r="A16" s="250"/>
      <c r="B16" s="197"/>
      <c r="C16" s="251"/>
      <c r="D16" s="250"/>
      <c r="E16" s="249"/>
      <c r="F16" s="229"/>
      <c r="G16" s="252"/>
      <c r="H16" s="144" t="s">
        <v>64</v>
      </c>
      <c r="I16" s="124" t="s">
        <v>196</v>
      </c>
      <c r="J16" s="144" t="s">
        <v>64</v>
      </c>
      <c r="K16" s="144" t="s">
        <v>64</v>
      </c>
      <c r="L16" s="82" t="s">
        <v>144</v>
      </c>
      <c r="M16" s="124" t="s">
        <v>196</v>
      </c>
      <c r="N16" s="146" t="s">
        <v>197</v>
      </c>
      <c r="O16" s="17" t="str">
        <f>IF(B8=30,"4",IF(B8=25,"0",IF(B8=20,"0",IF(B8=15,"0"))))</f>
        <v>0</v>
      </c>
      <c r="P16" s="17">
        <f t="shared" si="0"/>
        <v>0</v>
      </c>
      <c r="Q16" s="17">
        <f t="shared" si="1"/>
        <v>0</v>
      </c>
      <c r="R16" s="147">
        <f>Q16*4.38</f>
        <v>0</v>
      </c>
      <c r="S16" s="15" t="s">
        <v>27</v>
      </c>
      <c r="T16" s="72"/>
    </row>
    <row r="17" spans="1:28" ht="14.25" customHeight="1" x14ac:dyDescent="0.25">
      <c r="A17" s="250"/>
      <c r="B17" s="197"/>
      <c r="C17" s="251"/>
      <c r="D17" s="250"/>
      <c r="E17" s="249"/>
      <c r="F17" s="229"/>
      <c r="G17" s="252"/>
      <c r="H17" s="236" t="s">
        <v>23</v>
      </c>
      <c r="I17" s="236" t="s">
        <v>198</v>
      </c>
      <c r="J17" s="236" t="s">
        <v>28</v>
      </c>
      <c r="K17" s="248">
        <f>J17*G8</f>
        <v>4</v>
      </c>
      <c r="L17" s="100" t="s">
        <v>22</v>
      </c>
      <c r="M17" s="149" t="s">
        <v>199</v>
      </c>
      <c r="N17" s="146" t="s">
        <v>200</v>
      </c>
      <c r="O17" s="17">
        <v>2</v>
      </c>
      <c r="P17" s="17">
        <f t="shared" si="0"/>
        <v>2</v>
      </c>
      <c r="Q17" s="17">
        <f t="shared" si="1"/>
        <v>4</v>
      </c>
      <c r="R17" s="147">
        <f>Q17*0.1</f>
        <v>0.4</v>
      </c>
      <c r="S17" s="15" t="s">
        <v>27</v>
      </c>
      <c r="T17" s="72"/>
    </row>
    <row r="18" spans="1:28" ht="14.25" customHeight="1" x14ac:dyDescent="0.25">
      <c r="A18" s="250"/>
      <c r="B18" s="197"/>
      <c r="C18" s="251"/>
      <c r="D18" s="250"/>
      <c r="E18" s="249"/>
      <c r="F18" s="229"/>
      <c r="G18" s="252"/>
      <c r="H18" s="219"/>
      <c r="I18" s="219"/>
      <c r="J18" s="219"/>
      <c r="K18" s="217"/>
      <c r="L18" s="82" t="s">
        <v>28</v>
      </c>
      <c r="M18" s="149" t="s">
        <v>201</v>
      </c>
      <c r="N18" s="146" t="s">
        <v>202</v>
      </c>
      <c r="O18" s="17">
        <v>2</v>
      </c>
      <c r="P18" s="17">
        <f t="shared" si="0"/>
        <v>2</v>
      </c>
      <c r="Q18" s="17">
        <f t="shared" si="1"/>
        <v>4</v>
      </c>
      <c r="R18" s="147">
        <f>11.3*Q18</f>
        <v>45.2</v>
      </c>
      <c r="S18" s="15" t="s">
        <v>27</v>
      </c>
      <c r="T18" s="72"/>
    </row>
    <row r="19" spans="1:28" ht="14.25" customHeight="1" x14ac:dyDescent="0.25">
      <c r="A19" s="250"/>
      <c r="B19" s="197"/>
      <c r="C19" s="251"/>
      <c r="D19" s="250"/>
      <c r="E19" s="249"/>
      <c r="F19" s="229"/>
      <c r="G19" s="252"/>
      <c r="H19" s="236" t="s">
        <v>37</v>
      </c>
      <c r="I19" s="236" t="s">
        <v>203</v>
      </c>
      <c r="J19" s="236">
        <v>1</v>
      </c>
      <c r="K19" s="248">
        <f>J19*G8</f>
        <v>2</v>
      </c>
      <c r="L19" s="82" t="s">
        <v>22</v>
      </c>
      <c r="M19" s="149" t="s">
        <v>204</v>
      </c>
      <c r="N19" s="146" t="s">
        <v>89</v>
      </c>
      <c r="O19" s="17">
        <v>32</v>
      </c>
      <c r="P19" s="17">
        <f t="shared" si="0"/>
        <v>32</v>
      </c>
      <c r="Q19" s="17">
        <f t="shared" si="1"/>
        <v>64</v>
      </c>
      <c r="R19" s="17">
        <f t="shared" si="1"/>
        <v>128</v>
      </c>
      <c r="S19" s="15" t="s">
        <v>54</v>
      </c>
      <c r="T19" s="72"/>
    </row>
    <row r="20" spans="1:28" ht="14.25" customHeight="1" x14ac:dyDescent="0.25">
      <c r="A20" s="250"/>
      <c r="B20" s="197"/>
      <c r="C20" s="251"/>
      <c r="D20" s="250"/>
      <c r="E20" s="249"/>
      <c r="F20" s="229"/>
      <c r="G20" s="252"/>
      <c r="H20" s="218"/>
      <c r="I20" s="218"/>
      <c r="J20" s="218"/>
      <c r="K20" s="216"/>
      <c r="L20" s="100" t="s">
        <v>28</v>
      </c>
      <c r="M20" s="149" t="s">
        <v>205</v>
      </c>
      <c r="N20" s="146" t="s">
        <v>87</v>
      </c>
      <c r="O20" s="17">
        <v>32</v>
      </c>
      <c r="P20" s="17">
        <f t="shared" si="0"/>
        <v>32</v>
      </c>
      <c r="Q20" s="17">
        <f t="shared" si="1"/>
        <v>64</v>
      </c>
      <c r="R20" s="17">
        <f t="shared" si="1"/>
        <v>128</v>
      </c>
      <c r="S20" s="15" t="s">
        <v>54</v>
      </c>
      <c r="T20" s="72"/>
    </row>
    <row r="21" spans="1:28" ht="14.25" customHeight="1" x14ac:dyDescent="0.25">
      <c r="A21" s="250"/>
      <c r="B21" s="197"/>
      <c r="C21" s="251"/>
      <c r="D21" s="250"/>
      <c r="E21" s="249"/>
      <c r="F21" s="229"/>
      <c r="G21" s="252"/>
      <c r="H21" s="218"/>
      <c r="I21" s="218"/>
      <c r="J21" s="218"/>
      <c r="K21" s="216"/>
      <c r="L21" s="82" t="s">
        <v>31</v>
      </c>
      <c r="M21" s="149" t="s">
        <v>206</v>
      </c>
      <c r="N21" s="152" t="s">
        <v>89</v>
      </c>
      <c r="O21" s="52">
        <v>2</v>
      </c>
      <c r="P21" s="17">
        <f t="shared" si="0"/>
        <v>2</v>
      </c>
      <c r="Q21" s="17">
        <f t="shared" si="1"/>
        <v>4</v>
      </c>
      <c r="R21" s="17">
        <f t="shared" si="1"/>
        <v>8</v>
      </c>
      <c r="S21" s="50" t="s">
        <v>54</v>
      </c>
      <c r="T21" s="72"/>
      <c r="U21" s="153"/>
      <c r="V21" s="154"/>
      <c r="W21" s="155"/>
      <c r="X21" s="154"/>
      <c r="Y21" s="154"/>
      <c r="Z21" s="154"/>
      <c r="AA21" s="154"/>
      <c r="AB21" s="154"/>
    </row>
    <row r="22" spans="1:28" ht="14.25" customHeight="1" x14ac:dyDescent="0.25">
      <c r="A22" s="250"/>
      <c r="B22" s="197"/>
      <c r="C22" s="251"/>
      <c r="D22" s="250"/>
      <c r="E22" s="249"/>
      <c r="F22" s="229"/>
      <c r="G22" s="252"/>
      <c r="H22" s="218"/>
      <c r="I22" s="218"/>
      <c r="J22" s="218"/>
      <c r="K22" s="216"/>
      <c r="L22" s="82" t="s">
        <v>34</v>
      </c>
      <c r="M22" s="149" t="s">
        <v>207</v>
      </c>
      <c r="N22" s="146" t="s">
        <v>87</v>
      </c>
      <c r="O22" s="17">
        <v>2</v>
      </c>
      <c r="P22" s="17">
        <f t="shared" si="0"/>
        <v>2</v>
      </c>
      <c r="Q22" s="17">
        <f t="shared" si="1"/>
        <v>4</v>
      </c>
      <c r="R22" s="17">
        <f t="shared" si="1"/>
        <v>8</v>
      </c>
      <c r="S22" s="15" t="s">
        <v>54</v>
      </c>
      <c r="T22" s="72"/>
      <c r="U22" s="153"/>
      <c r="V22" s="155"/>
      <c r="W22" s="155"/>
      <c r="X22" s="154"/>
      <c r="Y22" s="154"/>
      <c r="Z22" s="154"/>
      <c r="AA22" s="154"/>
      <c r="AB22" s="154"/>
    </row>
    <row r="23" spans="1:28" ht="14.25" customHeight="1" x14ac:dyDescent="0.25">
      <c r="A23" s="250"/>
      <c r="B23" s="197"/>
      <c r="C23" s="251"/>
      <c r="D23" s="250"/>
      <c r="E23" s="249"/>
      <c r="F23" s="229"/>
      <c r="G23" s="252"/>
      <c r="H23" s="218"/>
      <c r="I23" s="218"/>
      <c r="J23" s="218"/>
      <c r="K23" s="216"/>
      <c r="L23" s="82" t="s">
        <v>124</v>
      </c>
      <c r="M23" s="124" t="s">
        <v>208</v>
      </c>
      <c r="N23" s="146" t="s">
        <v>100</v>
      </c>
      <c r="O23" s="17">
        <v>40</v>
      </c>
      <c r="P23" s="17">
        <f t="shared" si="0"/>
        <v>40</v>
      </c>
      <c r="Q23" s="17">
        <f t="shared" si="1"/>
        <v>80</v>
      </c>
      <c r="R23" s="17">
        <f t="shared" si="1"/>
        <v>160</v>
      </c>
      <c r="S23" s="15" t="s">
        <v>54</v>
      </c>
      <c r="T23" s="72"/>
    </row>
    <row r="24" spans="1:28" ht="14.25" customHeight="1" x14ac:dyDescent="0.25">
      <c r="A24" s="250"/>
      <c r="B24" s="198"/>
      <c r="C24" s="251"/>
      <c r="D24" s="250"/>
      <c r="E24" s="249"/>
      <c r="F24" s="229"/>
      <c r="G24" s="252"/>
      <c r="H24" s="219"/>
      <c r="I24" s="219"/>
      <c r="J24" s="219"/>
      <c r="K24" s="217"/>
      <c r="L24" s="100" t="s">
        <v>127</v>
      </c>
      <c r="M24" s="124" t="s">
        <v>209</v>
      </c>
      <c r="N24" s="146" t="s">
        <v>210</v>
      </c>
      <c r="O24" s="17">
        <v>40</v>
      </c>
      <c r="P24" s="17">
        <f t="shared" si="0"/>
        <v>40</v>
      </c>
      <c r="Q24" s="17">
        <f t="shared" si="1"/>
        <v>80</v>
      </c>
      <c r="R24" s="17">
        <f t="shared" si="1"/>
        <v>160</v>
      </c>
      <c r="S24" s="15" t="s">
        <v>54</v>
      </c>
      <c r="T24" s="72"/>
    </row>
  </sheetData>
  <mergeCells count="16">
    <mergeCell ref="F8:F24"/>
    <mergeCell ref="G8:G24"/>
    <mergeCell ref="H17:H18"/>
    <mergeCell ref="I17:I18"/>
    <mergeCell ref="J17:J18"/>
    <mergeCell ref="K17:K18"/>
    <mergeCell ref="H19:H24"/>
    <mergeCell ref="I19:I24"/>
    <mergeCell ref="J19:J24"/>
    <mergeCell ref="K19:K24"/>
    <mergeCell ref="E8:E24"/>
    <mergeCell ref="A6:C6"/>
    <mergeCell ref="A8:A24"/>
    <mergeCell ref="B8:B24"/>
    <mergeCell ref="C8:C24"/>
    <mergeCell ref="D8:D24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6"/>
  <sheetViews>
    <sheetView tabSelected="1" view="pageLayout" topLeftCell="A13" zoomScaleNormal="100" workbookViewId="0">
      <selection activeCell="N26" sqref="N26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4.5" customHeight="1" x14ac:dyDescent="0.25"/>
    <row r="6" spans="1:20" ht="19.5" x14ac:dyDescent="0.25">
      <c r="A6" s="186" t="s">
        <v>0</v>
      </c>
      <c r="B6" s="187"/>
      <c r="C6" s="187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50.2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0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0" ht="13.5" customHeight="1" x14ac:dyDescent="0.25">
      <c r="A8" s="188" t="s">
        <v>20</v>
      </c>
      <c r="B8" s="191">
        <f>درام!B8</f>
        <v>15</v>
      </c>
      <c r="C8" s="191">
        <v>2</v>
      </c>
      <c r="D8" s="188" t="s">
        <v>57</v>
      </c>
      <c r="E8" s="220" t="s">
        <v>211</v>
      </c>
      <c r="F8" s="205" t="s">
        <v>22</v>
      </c>
      <c r="G8" s="191">
        <f>F8*C8</f>
        <v>2</v>
      </c>
      <c r="H8" s="188" t="s">
        <v>23</v>
      </c>
      <c r="I8" s="253" t="s">
        <v>212</v>
      </c>
      <c r="J8" s="188">
        <v>1</v>
      </c>
      <c r="K8" s="191">
        <f>J8*G8</f>
        <v>2</v>
      </c>
      <c r="L8" s="82" t="s">
        <v>22</v>
      </c>
      <c r="M8" s="156" t="s">
        <v>212</v>
      </c>
      <c r="N8" s="105" t="s">
        <v>213</v>
      </c>
      <c r="O8" s="105">
        <v>1</v>
      </c>
      <c r="P8" s="79">
        <f>O8*$F$8</f>
        <v>1</v>
      </c>
      <c r="Q8" s="79">
        <f>P8*$C$8</f>
        <v>2</v>
      </c>
      <c r="R8" s="157">
        <f>Q8*0.51</f>
        <v>1.02</v>
      </c>
      <c r="S8" s="123" t="s">
        <v>27</v>
      </c>
      <c r="T8" s="115"/>
    </row>
    <row r="9" spans="1:20" ht="13.5" customHeight="1" x14ac:dyDescent="0.25">
      <c r="A9" s="189"/>
      <c r="B9" s="184"/>
      <c r="C9" s="184"/>
      <c r="D9" s="189"/>
      <c r="E9" s="220"/>
      <c r="F9" s="206"/>
      <c r="G9" s="184"/>
      <c r="H9" s="189"/>
      <c r="I9" s="246"/>
      <c r="J9" s="189"/>
      <c r="K9" s="184"/>
      <c r="L9" s="82" t="s">
        <v>28</v>
      </c>
      <c r="M9" s="158" t="s">
        <v>214</v>
      </c>
      <c r="N9" s="159" t="s">
        <v>215</v>
      </c>
      <c r="O9" s="159">
        <v>2</v>
      </c>
      <c r="P9" s="79">
        <f t="shared" ref="P9:P24" si="0">O9*$F$8</f>
        <v>2</v>
      </c>
      <c r="Q9" s="79">
        <f t="shared" ref="Q9:R24" si="1">P9*$C$8</f>
        <v>4</v>
      </c>
      <c r="R9" s="79">
        <f t="shared" si="1"/>
        <v>8</v>
      </c>
      <c r="S9" s="123" t="s">
        <v>54</v>
      </c>
      <c r="T9" s="115"/>
    </row>
    <row r="10" spans="1:20" ht="13.5" customHeight="1" x14ac:dyDescent="0.25">
      <c r="A10" s="189"/>
      <c r="B10" s="184"/>
      <c r="C10" s="184"/>
      <c r="D10" s="189"/>
      <c r="E10" s="220"/>
      <c r="F10" s="206"/>
      <c r="G10" s="184"/>
      <c r="H10" s="189"/>
      <c r="I10" s="246"/>
      <c r="J10" s="189"/>
      <c r="K10" s="184"/>
      <c r="L10" s="82" t="s">
        <v>31</v>
      </c>
      <c r="M10" s="158" t="s">
        <v>216</v>
      </c>
      <c r="N10" s="159" t="s">
        <v>217</v>
      </c>
      <c r="O10" s="159">
        <v>1</v>
      </c>
      <c r="P10" s="79">
        <f t="shared" si="0"/>
        <v>1</v>
      </c>
      <c r="Q10" s="79">
        <f t="shared" si="1"/>
        <v>2</v>
      </c>
      <c r="R10" s="79">
        <f t="shared" si="1"/>
        <v>4</v>
      </c>
      <c r="S10" s="123" t="s">
        <v>54</v>
      </c>
      <c r="T10" s="115"/>
    </row>
    <row r="11" spans="1:20" ht="13.5" customHeight="1" x14ac:dyDescent="0.25">
      <c r="A11" s="189"/>
      <c r="B11" s="184"/>
      <c r="C11" s="184"/>
      <c r="D11" s="189"/>
      <c r="E11" s="220"/>
      <c r="F11" s="206"/>
      <c r="G11" s="184"/>
      <c r="H11" s="189"/>
      <c r="I11" s="246"/>
      <c r="J11" s="189"/>
      <c r="K11" s="184"/>
      <c r="L11" s="82" t="s">
        <v>34</v>
      </c>
      <c r="M11" s="158" t="s">
        <v>218</v>
      </c>
      <c r="N11" s="159" t="s">
        <v>96</v>
      </c>
      <c r="O11" s="159">
        <v>1</v>
      </c>
      <c r="P11" s="79">
        <f t="shared" si="0"/>
        <v>1</v>
      </c>
      <c r="Q11" s="79">
        <f t="shared" si="1"/>
        <v>2</v>
      </c>
      <c r="R11" s="79">
        <f t="shared" si="1"/>
        <v>4</v>
      </c>
      <c r="S11" s="123" t="s">
        <v>54</v>
      </c>
      <c r="T11" s="115"/>
    </row>
    <row r="12" spans="1:20" ht="13.5" customHeight="1" thickBot="1" x14ac:dyDescent="0.3">
      <c r="A12" s="189"/>
      <c r="B12" s="184"/>
      <c r="C12" s="184"/>
      <c r="D12" s="189"/>
      <c r="E12" s="220"/>
      <c r="F12" s="206"/>
      <c r="G12" s="184"/>
      <c r="H12" s="204"/>
      <c r="I12" s="254"/>
      <c r="J12" s="204"/>
      <c r="K12" s="185"/>
      <c r="L12" s="88" t="s">
        <v>124</v>
      </c>
      <c r="M12" s="160" t="s">
        <v>219</v>
      </c>
      <c r="N12" s="161" t="s">
        <v>220</v>
      </c>
      <c r="O12" s="161">
        <v>2</v>
      </c>
      <c r="P12" s="47">
        <f t="shared" si="0"/>
        <v>2</v>
      </c>
      <c r="Q12" s="47">
        <f t="shared" si="1"/>
        <v>4</v>
      </c>
      <c r="R12" s="47">
        <f t="shared" si="1"/>
        <v>8</v>
      </c>
      <c r="S12" s="162" t="s">
        <v>54</v>
      </c>
      <c r="T12" s="163"/>
    </row>
    <row r="13" spans="1:20" ht="13.5" customHeight="1" x14ac:dyDescent="0.25">
      <c r="A13" s="189"/>
      <c r="B13" s="184"/>
      <c r="C13" s="184"/>
      <c r="D13" s="189"/>
      <c r="E13" s="220"/>
      <c r="F13" s="206"/>
      <c r="G13" s="184"/>
      <c r="H13" s="164" t="s">
        <v>64</v>
      </c>
      <c r="I13" s="165" t="s">
        <v>221</v>
      </c>
      <c r="J13" s="164" t="s">
        <v>64</v>
      </c>
      <c r="K13" s="166" t="s">
        <v>64</v>
      </c>
      <c r="L13" s="126" t="s">
        <v>22</v>
      </c>
      <c r="M13" s="165" t="s">
        <v>221</v>
      </c>
      <c r="N13" s="165" t="s">
        <v>222</v>
      </c>
      <c r="O13" s="167">
        <v>1</v>
      </c>
      <c r="P13" s="168">
        <f t="shared" si="0"/>
        <v>1</v>
      </c>
      <c r="Q13" s="168">
        <f t="shared" si="1"/>
        <v>2</v>
      </c>
      <c r="R13" s="169">
        <f>1.5*Q13</f>
        <v>3</v>
      </c>
      <c r="S13" s="170" t="s">
        <v>27</v>
      </c>
      <c r="T13" s="171"/>
    </row>
    <row r="14" spans="1:20" ht="13.5" customHeight="1" x14ac:dyDescent="0.25">
      <c r="A14" s="189"/>
      <c r="B14" s="184"/>
      <c r="C14" s="184"/>
      <c r="D14" s="189"/>
      <c r="E14" s="220"/>
      <c r="F14" s="206"/>
      <c r="G14" s="184"/>
      <c r="H14" s="148" t="s">
        <v>64</v>
      </c>
      <c r="I14" s="156" t="s">
        <v>223</v>
      </c>
      <c r="J14" s="148" t="s">
        <v>64</v>
      </c>
      <c r="K14" s="172" t="s">
        <v>64</v>
      </c>
      <c r="L14" s="82" t="s">
        <v>28</v>
      </c>
      <c r="M14" s="156" t="s">
        <v>223</v>
      </c>
      <c r="N14" s="105" t="s">
        <v>224</v>
      </c>
      <c r="O14" s="105">
        <v>1</v>
      </c>
      <c r="P14" s="79">
        <f t="shared" si="0"/>
        <v>1</v>
      </c>
      <c r="Q14" s="79">
        <f t="shared" si="1"/>
        <v>2</v>
      </c>
      <c r="R14" s="157">
        <f>1.2*Q14</f>
        <v>2.4</v>
      </c>
      <c r="S14" s="123" t="s">
        <v>27</v>
      </c>
      <c r="T14" s="115"/>
    </row>
    <row r="15" spans="1:20" ht="13.5" customHeight="1" x14ac:dyDescent="0.25">
      <c r="A15" s="189"/>
      <c r="B15" s="184"/>
      <c r="C15" s="184"/>
      <c r="D15" s="189"/>
      <c r="E15" s="220"/>
      <c r="F15" s="206"/>
      <c r="G15" s="184"/>
      <c r="H15" s="148" t="s">
        <v>64</v>
      </c>
      <c r="I15" s="123" t="s">
        <v>225</v>
      </c>
      <c r="J15" s="148" t="s">
        <v>64</v>
      </c>
      <c r="K15" s="172" t="s">
        <v>64</v>
      </c>
      <c r="L15" s="82" t="s">
        <v>31</v>
      </c>
      <c r="M15" s="123" t="s">
        <v>225</v>
      </c>
      <c r="N15" s="173" t="s">
        <v>226</v>
      </c>
      <c r="O15" s="54">
        <v>1</v>
      </c>
      <c r="P15" s="79">
        <f t="shared" si="0"/>
        <v>1</v>
      </c>
      <c r="Q15" s="79">
        <f t="shared" si="1"/>
        <v>2</v>
      </c>
      <c r="R15" s="79">
        <f t="shared" si="1"/>
        <v>4</v>
      </c>
      <c r="S15" s="123" t="s">
        <v>54</v>
      </c>
      <c r="T15" s="115"/>
    </row>
    <row r="16" spans="1:20" ht="13.5" customHeight="1" thickBot="1" x14ac:dyDescent="0.3">
      <c r="A16" s="189"/>
      <c r="B16" s="184"/>
      <c r="C16" s="184"/>
      <c r="D16" s="189"/>
      <c r="E16" s="220"/>
      <c r="F16" s="206"/>
      <c r="G16" s="184"/>
      <c r="H16" s="174" t="s">
        <v>64</v>
      </c>
      <c r="I16" s="162" t="s">
        <v>227</v>
      </c>
      <c r="J16" s="174" t="s">
        <v>64</v>
      </c>
      <c r="K16" s="175" t="s">
        <v>64</v>
      </c>
      <c r="L16" s="88" t="s">
        <v>34</v>
      </c>
      <c r="M16" s="162" t="s">
        <v>227</v>
      </c>
      <c r="N16" s="176" t="s">
        <v>64</v>
      </c>
      <c r="O16" s="177">
        <v>1</v>
      </c>
      <c r="P16" s="47">
        <f t="shared" si="0"/>
        <v>1</v>
      </c>
      <c r="Q16" s="47">
        <f t="shared" si="1"/>
        <v>2</v>
      </c>
      <c r="R16" s="47">
        <f t="shared" si="1"/>
        <v>4</v>
      </c>
      <c r="S16" s="162" t="s">
        <v>54</v>
      </c>
      <c r="T16" s="163"/>
    </row>
    <row r="17" spans="1:20" ht="13.5" customHeight="1" x14ac:dyDescent="0.25">
      <c r="A17" s="189"/>
      <c r="B17" s="184"/>
      <c r="C17" s="184"/>
      <c r="D17" s="189"/>
      <c r="E17" s="220"/>
      <c r="F17" s="206"/>
      <c r="G17" s="184"/>
      <c r="H17" s="203" t="s">
        <v>37</v>
      </c>
      <c r="I17" s="245" t="s">
        <v>77</v>
      </c>
      <c r="J17" s="203" t="s">
        <v>22</v>
      </c>
      <c r="K17" s="183">
        <f>J17*G8</f>
        <v>2</v>
      </c>
      <c r="L17" s="100" t="s">
        <v>22</v>
      </c>
      <c r="M17" s="145" t="s">
        <v>228</v>
      </c>
      <c r="N17" s="178" t="s">
        <v>229</v>
      </c>
      <c r="O17" s="159">
        <v>1</v>
      </c>
      <c r="P17" s="65">
        <f t="shared" si="0"/>
        <v>1</v>
      </c>
      <c r="Q17" s="65">
        <f t="shared" si="1"/>
        <v>2</v>
      </c>
      <c r="R17" s="65">
        <f t="shared" si="1"/>
        <v>4</v>
      </c>
      <c r="S17" s="140" t="s">
        <v>54</v>
      </c>
      <c r="T17" s="171"/>
    </row>
    <row r="18" spans="1:20" ht="13.5" customHeight="1" x14ac:dyDescent="0.25">
      <c r="A18" s="189"/>
      <c r="B18" s="184"/>
      <c r="C18" s="184"/>
      <c r="D18" s="189"/>
      <c r="E18" s="220"/>
      <c r="F18" s="206"/>
      <c r="G18" s="184"/>
      <c r="H18" s="189"/>
      <c r="I18" s="246"/>
      <c r="J18" s="189"/>
      <c r="K18" s="184"/>
      <c r="L18" s="82" t="s">
        <v>28</v>
      </c>
      <c r="M18" s="149" t="s">
        <v>230</v>
      </c>
      <c r="N18" s="124" t="s">
        <v>229</v>
      </c>
      <c r="O18" s="159">
        <v>2</v>
      </c>
      <c r="P18" s="79">
        <f t="shared" si="0"/>
        <v>2</v>
      </c>
      <c r="Q18" s="79">
        <f t="shared" si="1"/>
        <v>4</v>
      </c>
      <c r="R18" s="79">
        <f t="shared" si="1"/>
        <v>8</v>
      </c>
      <c r="S18" s="123" t="s">
        <v>54</v>
      </c>
      <c r="T18" s="115"/>
    </row>
    <row r="19" spans="1:20" ht="13.5" customHeight="1" x14ac:dyDescent="0.25">
      <c r="A19" s="189"/>
      <c r="B19" s="184"/>
      <c r="C19" s="184"/>
      <c r="D19" s="189"/>
      <c r="E19" s="220"/>
      <c r="F19" s="206"/>
      <c r="G19" s="184"/>
      <c r="H19" s="189"/>
      <c r="I19" s="246"/>
      <c r="J19" s="189"/>
      <c r="K19" s="184"/>
      <c r="L19" s="82" t="s">
        <v>31</v>
      </c>
      <c r="M19" s="149" t="s">
        <v>231</v>
      </c>
      <c r="N19" s="124" t="s">
        <v>229</v>
      </c>
      <c r="O19" s="159">
        <v>1</v>
      </c>
      <c r="P19" s="79">
        <f t="shared" si="0"/>
        <v>1</v>
      </c>
      <c r="Q19" s="79">
        <f t="shared" si="1"/>
        <v>2</v>
      </c>
      <c r="R19" s="79">
        <f t="shared" si="1"/>
        <v>4</v>
      </c>
      <c r="S19" s="123" t="s">
        <v>54</v>
      </c>
      <c r="T19" s="115"/>
    </row>
    <row r="20" spans="1:20" ht="13.5" customHeight="1" x14ac:dyDescent="0.25">
      <c r="A20" s="189"/>
      <c r="B20" s="184"/>
      <c r="C20" s="184"/>
      <c r="D20" s="189"/>
      <c r="E20" s="220"/>
      <c r="F20" s="206"/>
      <c r="G20" s="184"/>
      <c r="H20" s="189"/>
      <c r="I20" s="246"/>
      <c r="J20" s="189"/>
      <c r="K20" s="184"/>
      <c r="L20" s="82" t="s">
        <v>34</v>
      </c>
      <c r="M20" s="149" t="s">
        <v>232</v>
      </c>
      <c r="N20" s="124" t="s">
        <v>229</v>
      </c>
      <c r="O20" s="159">
        <v>1</v>
      </c>
      <c r="P20" s="79">
        <f t="shared" si="0"/>
        <v>1</v>
      </c>
      <c r="Q20" s="79">
        <f t="shared" si="1"/>
        <v>2</v>
      </c>
      <c r="R20" s="79">
        <f t="shared" si="1"/>
        <v>4</v>
      </c>
      <c r="S20" s="123" t="s">
        <v>54</v>
      </c>
      <c r="T20" s="115"/>
    </row>
    <row r="21" spans="1:20" ht="13.5" customHeight="1" x14ac:dyDescent="0.25">
      <c r="A21" s="189"/>
      <c r="B21" s="184"/>
      <c r="C21" s="184"/>
      <c r="D21" s="189"/>
      <c r="E21" s="220"/>
      <c r="F21" s="206"/>
      <c r="G21" s="184"/>
      <c r="H21" s="189"/>
      <c r="I21" s="246"/>
      <c r="J21" s="189"/>
      <c r="K21" s="184"/>
      <c r="L21" s="82" t="s">
        <v>124</v>
      </c>
      <c r="M21" s="149" t="s">
        <v>233</v>
      </c>
      <c r="N21" s="146" t="s">
        <v>89</v>
      </c>
      <c r="O21" s="105">
        <v>2</v>
      </c>
      <c r="P21" s="79">
        <f t="shared" si="0"/>
        <v>2</v>
      </c>
      <c r="Q21" s="79">
        <f t="shared" si="1"/>
        <v>4</v>
      </c>
      <c r="R21" s="79">
        <f t="shared" si="1"/>
        <v>8</v>
      </c>
      <c r="S21" s="123" t="s">
        <v>54</v>
      </c>
      <c r="T21" s="115"/>
    </row>
    <row r="22" spans="1:20" ht="13.5" customHeight="1" x14ac:dyDescent="0.25">
      <c r="A22" s="189"/>
      <c r="B22" s="184"/>
      <c r="C22" s="184"/>
      <c r="D22" s="189"/>
      <c r="E22" s="220"/>
      <c r="F22" s="206"/>
      <c r="G22" s="184"/>
      <c r="H22" s="189"/>
      <c r="I22" s="246"/>
      <c r="J22" s="189"/>
      <c r="K22" s="184"/>
      <c r="L22" s="126" t="s">
        <v>127</v>
      </c>
      <c r="M22" s="145" t="s">
        <v>234</v>
      </c>
      <c r="N22" s="152" t="s">
        <v>87</v>
      </c>
      <c r="O22" s="167">
        <v>1</v>
      </c>
      <c r="P22" s="168">
        <f t="shared" si="0"/>
        <v>1</v>
      </c>
      <c r="Q22" s="168">
        <f t="shared" si="1"/>
        <v>2</v>
      </c>
      <c r="R22" s="168">
        <f t="shared" si="1"/>
        <v>4</v>
      </c>
      <c r="S22" s="170" t="s">
        <v>54</v>
      </c>
      <c r="T22" s="115"/>
    </row>
    <row r="23" spans="1:20" ht="13.5" customHeight="1" x14ac:dyDescent="0.25">
      <c r="A23" s="189"/>
      <c r="B23" s="184"/>
      <c r="C23" s="184"/>
      <c r="D23" s="189"/>
      <c r="E23" s="220"/>
      <c r="F23" s="206"/>
      <c r="G23" s="184"/>
      <c r="H23" s="189"/>
      <c r="I23" s="246"/>
      <c r="J23" s="189"/>
      <c r="K23" s="184"/>
      <c r="L23" s="82" t="s">
        <v>138</v>
      </c>
      <c r="M23" s="149" t="s">
        <v>235</v>
      </c>
      <c r="N23" s="146" t="s">
        <v>92</v>
      </c>
      <c r="O23" s="105">
        <v>1</v>
      </c>
      <c r="P23" s="79">
        <f t="shared" si="0"/>
        <v>1</v>
      </c>
      <c r="Q23" s="79">
        <f t="shared" si="1"/>
        <v>2</v>
      </c>
      <c r="R23" s="79">
        <f t="shared" si="1"/>
        <v>4</v>
      </c>
      <c r="S23" s="123" t="s">
        <v>54</v>
      </c>
      <c r="T23" s="115"/>
    </row>
    <row r="24" spans="1:20" ht="13.5" customHeight="1" x14ac:dyDescent="0.25">
      <c r="A24" s="189"/>
      <c r="B24" s="184"/>
      <c r="C24" s="184"/>
      <c r="D24" s="189"/>
      <c r="E24" s="220"/>
      <c r="F24" s="206"/>
      <c r="G24" s="184"/>
      <c r="H24" s="189"/>
      <c r="I24" s="246"/>
      <c r="J24" s="189"/>
      <c r="K24" s="184"/>
      <c r="L24" s="82" t="s">
        <v>141</v>
      </c>
      <c r="M24" s="149" t="s">
        <v>236</v>
      </c>
      <c r="N24" s="146" t="s">
        <v>92</v>
      </c>
      <c r="O24" s="54">
        <v>1</v>
      </c>
      <c r="P24" s="79">
        <f t="shared" si="0"/>
        <v>1</v>
      </c>
      <c r="Q24" s="79">
        <f t="shared" si="1"/>
        <v>2</v>
      </c>
      <c r="R24" s="79">
        <f t="shared" si="1"/>
        <v>4</v>
      </c>
      <c r="S24" s="123" t="s">
        <v>54</v>
      </c>
      <c r="T24" s="115"/>
    </row>
    <row r="25" spans="1:20" ht="13.5" customHeight="1" x14ac:dyDescent="0.25">
      <c r="A25" s="189"/>
      <c r="B25" s="184"/>
      <c r="C25" s="184"/>
      <c r="D25" s="189"/>
      <c r="E25" s="220"/>
      <c r="F25" s="206"/>
      <c r="G25" s="184"/>
      <c r="H25" s="189"/>
      <c r="I25" s="246"/>
      <c r="J25" s="189"/>
      <c r="K25" s="184"/>
      <c r="L25" s="179" t="s">
        <v>144</v>
      </c>
      <c r="M25" s="124" t="s">
        <v>237</v>
      </c>
      <c r="N25" s="124" t="s">
        <v>229</v>
      </c>
      <c r="O25" s="54">
        <v>1</v>
      </c>
      <c r="P25" s="79">
        <f t="shared" ref="P25:P26" si="2">O25*$F$8</f>
        <v>1</v>
      </c>
      <c r="Q25" s="79">
        <f t="shared" ref="Q25:Q26" si="3">P25*$C$8</f>
        <v>2</v>
      </c>
      <c r="R25" s="79">
        <f t="shared" ref="R25:R26" si="4">Q25*$C$8</f>
        <v>4</v>
      </c>
      <c r="S25" s="123" t="s">
        <v>54</v>
      </c>
      <c r="T25" s="115"/>
    </row>
    <row r="26" spans="1:20" ht="13.5" customHeight="1" x14ac:dyDescent="0.25">
      <c r="A26" s="190"/>
      <c r="B26" s="192"/>
      <c r="C26" s="192"/>
      <c r="D26" s="190"/>
      <c r="E26" s="220"/>
      <c r="F26" s="207"/>
      <c r="G26" s="192"/>
      <c r="H26" s="190"/>
      <c r="I26" s="247"/>
      <c r="J26" s="190"/>
      <c r="K26" s="192"/>
      <c r="L26" s="82" t="s">
        <v>147</v>
      </c>
      <c r="M26" s="124" t="s">
        <v>238</v>
      </c>
      <c r="N26" s="146" t="s">
        <v>239</v>
      </c>
      <c r="O26" s="54">
        <v>2</v>
      </c>
      <c r="P26" s="79">
        <v>2</v>
      </c>
      <c r="Q26" s="79">
        <v>2</v>
      </c>
      <c r="R26" s="79">
        <v>2</v>
      </c>
      <c r="S26" s="123" t="s">
        <v>54</v>
      </c>
      <c r="T26" s="115"/>
    </row>
  </sheetData>
  <mergeCells count="16">
    <mergeCell ref="F8:F26"/>
    <mergeCell ref="G8:G26"/>
    <mergeCell ref="H8:H12"/>
    <mergeCell ref="I8:I12"/>
    <mergeCell ref="J8:J12"/>
    <mergeCell ref="K8:K12"/>
    <mergeCell ref="H17:H26"/>
    <mergeCell ref="I17:I26"/>
    <mergeCell ref="J17:J26"/>
    <mergeCell ref="K17:K26"/>
    <mergeCell ref="E8:E26"/>
    <mergeCell ref="A6:C6"/>
    <mergeCell ref="A8:A26"/>
    <mergeCell ref="B8:B26"/>
    <mergeCell ref="C8:C26"/>
    <mergeCell ref="D8:D2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درام</vt:lpstr>
      <vt:lpstr>پایه ثابت</vt:lpstr>
      <vt:lpstr>پایه متحرک</vt:lpstr>
      <vt:lpstr>قاب</vt:lpstr>
      <vt:lpstr>سیستم محرک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CII</dc:creator>
  <cp:lastModifiedBy>CII</cp:lastModifiedBy>
  <dcterms:created xsi:type="dcterms:W3CDTF">2019-02-03T13:52:41Z</dcterms:created>
  <dcterms:modified xsi:type="dcterms:W3CDTF">2019-02-04T10:07:40Z</dcterms:modified>
</cp:coreProperties>
</file>