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put Data" sheetId="14" r:id="rId1"/>
    <sheet name="El MTO" sheetId="5" state="hidden" r:id="rId2"/>
    <sheet name="AB MTO" sheetId="13" state="hidden" r:id="rId3"/>
    <sheet name="NB MTO" sheetId="15" state="hidden" r:id="rId4"/>
    <sheet name="Eliminator MTOP" sheetId="16" r:id="rId5"/>
    <sheet name="Eliminator Material Pricing" sheetId="20" r:id="rId6"/>
    <sheet name="Airbaffle MTOP" sheetId="17" r:id="rId7"/>
    <sheet name="Airbaffle Material Pricing" sheetId="21" r:id="rId8"/>
    <sheet name="Nozzle Bank MTOP" sheetId="18" r:id="rId9"/>
    <sheet name="Nozzle Ban Material Pricing" sheetId="22" r:id="rId10"/>
  </sheets>
  <definedNames>
    <definedName name="Material">'El MTO'!$A$45:$A$46</definedName>
  </definedNames>
  <calcPr calcId="152511"/>
</workbook>
</file>

<file path=xl/calcChain.xml><?xml version="1.0" encoding="utf-8"?>
<calcChain xmlns="http://schemas.openxmlformats.org/spreadsheetml/2006/main">
  <c r="G71" i="18" l="1"/>
  <c r="H17" i="15"/>
  <c r="I5" i="14"/>
  <c r="H5" i="14"/>
  <c r="B4" i="13" l="1"/>
  <c r="L6" i="13"/>
  <c r="N6" i="13" s="1"/>
  <c r="G6" i="17" s="1"/>
  <c r="L7" i="13" l="1"/>
  <c r="N7" i="13" s="1"/>
  <c r="G7" i="17" s="1"/>
  <c r="B4" i="5" l="1"/>
  <c r="B3" i="5"/>
  <c r="B6" i="5" l="1"/>
  <c r="L35" i="5" l="1"/>
  <c r="L34" i="5"/>
  <c r="L33" i="5"/>
  <c r="L32" i="5"/>
  <c r="L31" i="5"/>
  <c r="L30" i="5"/>
  <c r="L16" i="5"/>
  <c r="L15" i="5"/>
  <c r="L7" i="5"/>
  <c r="L6" i="5"/>
  <c r="L5" i="5"/>
  <c r="L18" i="15" l="1"/>
  <c r="H7" i="15" l="1"/>
  <c r="I7" i="15" s="1"/>
  <c r="H12" i="15" l="1"/>
  <c r="H8" i="15"/>
  <c r="I8" i="15" s="1"/>
  <c r="H6" i="15"/>
  <c r="I6" i="15" s="1"/>
  <c r="H13" i="15" l="1"/>
  <c r="I13" i="15" s="1"/>
  <c r="G59" i="18" s="1"/>
  <c r="H10" i="15"/>
  <c r="I10" i="15" s="1"/>
  <c r="H9" i="15"/>
  <c r="I9" i="15" s="1"/>
  <c r="H5" i="15"/>
  <c r="I5" i="15" s="1"/>
  <c r="E5" i="15"/>
  <c r="E3" i="15"/>
  <c r="H4" i="15"/>
  <c r="G4" i="15"/>
  <c r="E4" i="15"/>
  <c r="H3" i="15"/>
  <c r="G3" i="15"/>
  <c r="I3" i="15" l="1"/>
  <c r="I4" i="15"/>
  <c r="G11" i="15"/>
  <c r="I11" i="15" s="1"/>
  <c r="L11" i="15" s="1"/>
  <c r="L7" i="15"/>
  <c r="B3" i="13" l="1"/>
  <c r="B27" i="13" s="1"/>
  <c r="B2" i="13"/>
  <c r="L18" i="13" l="1"/>
  <c r="M18" i="13" s="1"/>
  <c r="N18" i="13" s="1"/>
  <c r="G18" i="17" s="1"/>
  <c r="L17" i="13"/>
  <c r="L16" i="13"/>
  <c r="L19" i="13"/>
  <c r="M19" i="13" s="1"/>
  <c r="N19" i="13" s="1"/>
  <c r="G19" i="17" s="1"/>
  <c r="B19" i="13"/>
  <c r="B20" i="13" s="1"/>
  <c r="K5" i="13"/>
  <c r="B22" i="13"/>
  <c r="B24" i="13" s="1"/>
  <c r="K20" i="13"/>
  <c r="G18" i="15" s="1"/>
  <c r="B21" i="13"/>
  <c r="L4" i="13" s="1"/>
  <c r="C20" i="13" l="1"/>
  <c r="C27" i="13"/>
  <c r="B23" i="13"/>
  <c r="B25" i="13" s="1"/>
  <c r="B26" i="13" s="1"/>
  <c r="C26" i="13" s="1"/>
  <c r="L5" i="13"/>
  <c r="K4" i="13"/>
  <c r="M17" i="13"/>
  <c r="N17" i="13" s="1"/>
  <c r="G17" i="17" s="1"/>
  <c r="M16" i="13"/>
  <c r="N16" i="13" s="1"/>
  <c r="G16" i="17" s="1"/>
  <c r="L9" i="13" l="1"/>
  <c r="N9" i="13" s="1"/>
  <c r="G9" i="17" s="1"/>
  <c r="M4" i="13"/>
  <c r="N4" i="13" s="1"/>
  <c r="G4" i="17" s="1"/>
  <c r="M5" i="13"/>
  <c r="N5" i="13" s="1"/>
  <c r="G5" i="17" s="1"/>
  <c r="B50" i="5"/>
  <c r="L10" i="13" l="1"/>
  <c r="L11" i="13" s="1"/>
  <c r="M9" i="13"/>
  <c r="L27" i="5"/>
  <c r="L28" i="5"/>
  <c r="L29" i="5"/>
  <c r="N10" i="13" l="1"/>
  <c r="G10" i="17" s="1"/>
  <c r="M10" i="13"/>
  <c r="L12" i="13"/>
  <c r="L14" i="13" s="1"/>
  <c r="N11" i="13"/>
  <c r="G11" i="17" s="1"/>
  <c r="M11" i="13"/>
  <c r="L14" i="5"/>
  <c r="L13" i="5"/>
  <c r="L12" i="5"/>
  <c r="L26" i="5"/>
  <c r="L10" i="5"/>
  <c r="L9" i="5"/>
  <c r="L25" i="5"/>
  <c r="L4" i="5"/>
  <c r="L3" i="5"/>
  <c r="L24" i="5"/>
  <c r="L23" i="5"/>
  <c r="L13" i="13" l="1"/>
  <c r="N12" i="13"/>
  <c r="M12" i="13"/>
  <c r="M14" i="13" s="1"/>
  <c r="M29" i="5"/>
  <c r="N29" i="5" s="1"/>
  <c r="O29" i="5" s="1"/>
  <c r="G27" i="16" s="1"/>
  <c r="N14" i="13" l="1"/>
  <c r="G14" i="17" s="1"/>
  <c r="G12" i="17"/>
  <c r="N13" i="13"/>
  <c r="G13" i="17" s="1"/>
  <c r="M13" i="13"/>
  <c r="M23" i="5"/>
  <c r="M5" i="5"/>
  <c r="B48" i="5"/>
  <c r="M6" i="5" l="1"/>
  <c r="M7" i="5" s="1"/>
  <c r="N5" i="5"/>
  <c r="O5" i="5" s="1"/>
  <c r="G6" i="16" s="1"/>
  <c r="M3" i="5"/>
  <c r="M14" i="5"/>
  <c r="M9" i="5"/>
  <c r="M35" i="5" s="1"/>
  <c r="M12" i="5"/>
  <c r="B49" i="5"/>
  <c r="K26" i="5" s="1"/>
  <c r="M25" i="5"/>
  <c r="M24" i="5"/>
  <c r="B51" i="5"/>
  <c r="M26" i="5"/>
  <c r="M38" i="5"/>
  <c r="M30" i="5" l="1"/>
  <c r="M31" i="5" s="1"/>
  <c r="N6" i="5"/>
  <c r="M36" i="5"/>
  <c r="O35" i="5"/>
  <c r="G33" i="16" s="1"/>
  <c r="N35" i="5"/>
  <c r="O6" i="5"/>
  <c r="G7" i="16" s="1"/>
  <c r="M15" i="5"/>
  <c r="M16" i="5" s="1"/>
  <c r="M33" i="5"/>
  <c r="N30" i="5"/>
  <c r="N7" i="5"/>
  <c r="O7" i="5"/>
  <c r="G8" i="16" s="1"/>
  <c r="M27" i="5"/>
  <c r="N27" i="5" s="1"/>
  <c r="O27" i="5" s="1"/>
  <c r="G25" i="16" s="1"/>
  <c r="M28" i="5"/>
  <c r="N28" i="5" s="1"/>
  <c r="O28" i="5" s="1"/>
  <c r="G26" i="16" s="1"/>
  <c r="N14" i="5"/>
  <c r="O14" i="5" s="1"/>
  <c r="G13" i="16" s="1"/>
  <c r="K9" i="5"/>
  <c r="N26" i="5"/>
  <c r="O26" i="5" s="1"/>
  <c r="G24" i="16" s="1"/>
  <c r="M13" i="5"/>
  <c r="M32" i="5" s="1"/>
  <c r="M4" i="5"/>
  <c r="K24" i="5"/>
  <c r="K4" i="5"/>
  <c r="B52" i="5"/>
  <c r="K23" i="5" s="1"/>
  <c r="K25" i="5"/>
  <c r="N15" i="5" l="1"/>
  <c r="M34" i="5"/>
  <c r="O34" i="5" s="1"/>
  <c r="G32" i="16" s="1"/>
  <c r="N36" i="5"/>
  <c r="O36" i="5"/>
  <c r="G34" i="16" s="1"/>
  <c r="O30" i="5"/>
  <c r="G28" i="16" s="1"/>
  <c r="O15" i="5"/>
  <c r="G14" i="16" s="1"/>
  <c r="M17" i="5"/>
  <c r="N17" i="5" s="1"/>
  <c r="O17" i="5" s="1"/>
  <c r="G16" i="16" s="1"/>
  <c r="M19" i="5"/>
  <c r="N19" i="5" s="1"/>
  <c r="O19" i="5" s="1"/>
  <c r="G18" i="16" s="1"/>
  <c r="N33" i="5"/>
  <c r="O33" i="5"/>
  <c r="G31" i="16" s="1"/>
  <c r="O32" i="5"/>
  <c r="G30" i="16" s="1"/>
  <c r="N32" i="5"/>
  <c r="N31" i="5"/>
  <c r="O31" i="5"/>
  <c r="G29" i="16" s="1"/>
  <c r="N16" i="5"/>
  <c r="O16" i="5"/>
  <c r="G15" i="16" s="1"/>
  <c r="N4" i="5"/>
  <c r="O4" i="5" s="1"/>
  <c r="G5" i="16" s="1"/>
  <c r="K13" i="5"/>
  <c r="N24" i="5"/>
  <c r="O24" i="5" s="1"/>
  <c r="G22" i="16" s="1"/>
  <c r="K38" i="5"/>
  <c r="N25" i="5"/>
  <c r="O25" i="5" s="1"/>
  <c r="G23" i="16" s="1"/>
  <c r="M10" i="5"/>
  <c r="N9" i="5"/>
  <c r="O9" i="5" s="1"/>
  <c r="G9" i="16" s="1"/>
  <c r="K3" i="5"/>
  <c r="M21" i="5" l="1"/>
  <c r="N21" i="5" s="1"/>
  <c r="O21" i="5" s="1"/>
  <c r="G20" i="16" s="1"/>
  <c r="M18" i="5"/>
  <c r="N18" i="5" s="1"/>
  <c r="O18" i="5" s="1"/>
  <c r="G17" i="16" s="1"/>
  <c r="M20" i="5"/>
  <c r="N20" i="5" s="1"/>
  <c r="O20" i="5" s="1"/>
  <c r="G19" i="16" s="1"/>
  <c r="N34" i="5"/>
  <c r="K12" i="5"/>
  <c r="N23" i="5"/>
  <c r="O23" i="5" s="1"/>
  <c r="G21" i="16" s="1"/>
  <c r="B53" i="5"/>
  <c r="M41" i="5" s="1"/>
  <c r="N41" i="5" s="1"/>
  <c r="O41" i="5" s="1"/>
  <c r="G39" i="16" s="1"/>
  <c r="N38" i="5"/>
  <c r="O38" i="5" s="1"/>
  <c r="G36" i="16" s="1"/>
  <c r="N10" i="5"/>
  <c r="O10" i="5" s="1"/>
  <c r="G10" i="16" s="1"/>
  <c r="N3" i="5"/>
  <c r="O3" i="5" s="1"/>
  <c r="G4" i="16" s="1"/>
  <c r="N13" i="5"/>
  <c r="O13" i="5" s="1"/>
  <c r="G12" i="16" s="1"/>
  <c r="N12" i="5" l="1"/>
  <c r="O12" i="5" s="1"/>
  <c r="G11" i="16" s="1"/>
  <c r="M43" i="5"/>
  <c r="N43" i="5" s="1"/>
  <c r="O43" i="5" s="1"/>
  <c r="G41" i="16" s="1"/>
  <c r="M42" i="5"/>
  <c r="N42" i="5" s="1"/>
  <c r="O42" i="5" s="1"/>
  <c r="G40" i="16" s="1"/>
  <c r="M39" i="5" l="1"/>
  <c r="N39" i="5" s="1"/>
  <c r="O39" i="5" s="1"/>
  <c r="G37" i="16" s="1"/>
  <c r="M40" i="5"/>
  <c r="N40" i="5" s="1"/>
  <c r="O40" i="5" s="1"/>
  <c r="G38" i="16" s="1"/>
  <c r="G12" i="15"/>
  <c r="I12" i="15"/>
  <c r="G58" i="18" s="1"/>
  <c r="H14" i="15"/>
  <c r="H15" i="15" s="1"/>
  <c r="B28" i="13"/>
  <c r="L20" i="13" s="1"/>
  <c r="H22" i="15"/>
  <c r="I22" i="15" s="1"/>
  <c r="H19" i="15" l="1"/>
  <c r="I19" i="15" s="1"/>
  <c r="G68" i="18" s="1"/>
  <c r="H23" i="15"/>
  <c r="K22" i="15"/>
  <c r="G73" i="18" s="1"/>
  <c r="I15" i="15"/>
  <c r="G62" i="18" s="1"/>
  <c r="H16" i="15"/>
  <c r="M20" i="13"/>
  <c r="H18" i="15"/>
  <c r="H20" i="15"/>
  <c r="I20" i="15" s="1"/>
  <c r="G69" i="18" s="1"/>
  <c r="I14" i="15"/>
  <c r="G61" i="18" s="1"/>
  <c r="H21" i="15" l="1"/>
  <c r="I21" i="15" s="1"/>
  <c r="G70" i="18" s="1"/>
  <c r="I23" i="15"/>
  <c r="G74" i="18" s="1"/>
  <c r="H24" i="15"/>
  <c r="I24" i="15" s="1"/>
  <c r="G75" i="18" s="1"/>
  <c r="N20" i="13"/>
  <c r="I18" i="15" s="1"/>
  <c r="K18" i="15"/>
  <c r="G66" i="18" s="1"/>
  <c r="L22" i="15"/>
  <c r="I16" i="15"/>
  <c r="G63" i="18" s="1"/>
  <c r="I17" i="15"/>
  <c r="G64" i="18" s="1"/>
</calcChain>
</file>

<file path=xl/sharedStrings.xml><?xml version="1.0" encoding="utf-8"?>
<sst xmlns="http://schemas.openxmlformats.org/spreadsheetml/2006/main" count="1545" uniqueCount="414">
  <si>
    <t>Pos.</t>
  </si>
  <si>
    <t>Part</t>
  </si>
  <si>
    <t>Dimension</t>
  </si>
  <si>
    <t>Qty.</t>
  </si>
  <si>
    <t>Material</t>
  </si>
  <si>
    <t>Input Data</t>
  </si>
  <si>
    <t>Width</t>
  </si>
  <si>
    <t>Height</t>
  </si>
  <si>
    <t>Plate</t>
  </si>
  <si>
    <t>Thk</t>
  </si>
  <si>
    <t>W</t>
  </si>
  <si>
    <t>L</t>
  </si>
  <si>
    <t>No of Sets:</t>
  </si>
  <si>
    <t>Description</t>
  </si>
  <si>
    <t>N.W.</t>
  </si>
  <si>
    <t>نبشی درزگیر</t>
  </si>
  <si>
    <t>نردبانی</t>
  </si>
  <si>
    <t>واسط نردبانی</t>
  </si>
  <si>
    <t>سکو</t>
  </si>
  <si>
    <t>تیغه</t>
  </si>
  <si>
    <t>مهره برنجی</t>
  </si>
  <si>
    <t>مهره 5</t>
  </si>
  <si>
    <t>فاصله میانی</t>
  </si>
  <si>
    <t>فاصله انتهایی</t>
  </si>
  <si>
    <t>Tray:</t>
  </si>
  <si>
    <t>H_p:</t>
  </si>
  <si>
    <t>No. of Wins:</t>
  </si>
  <si>
    <t>C Win:</t>
  </si>
  <si>
    <t>NC Win:</t>
  </si>
  <si>
    <t>نبشی عرضی بالایی 1</t>
  </si>
  <si>
    <t>نبشی عرضی بالایی 2</t>
  </si>
  <si>
    <t>نبشی عرضی پایینی 1</t>
  </si>
  <si>
    <t>نبشی عرضی پایینی 2</t>
  </si>
  <si>
    <t>سینی 1</t>
  </si>
  <si>
    <t>سینی 2</t>
  </si>
  <si>
    <t>واسطه سینی</t>
  </si>
  <si>
    <t>ABS</t>
  </si>
  <si>
    <t>-</t>
  </si>
  <si>
    <t>Ni-Cr Coat</t>
  </si>
  <si>
    <t>Bar/Bl Bundle</t>
  </si>
  <si>
    <t>SS 304</t>
  </si>
  <si>
    <t>Brass</t>
  </si>
  <si>
    <t>میله الیمیناتور</t>
  </si>
  <si>
    <t>H.D.G</t>
  </si>
  <si>
    <t>Project No.:</t>
  </si>
  <si>
    <t>ستون میانی</t>
  </si>
  <si>
    <t>ناودانی اتصال سقفی</t>
  </si>
  <si>
    <t>نبشی اتصال ستون به سینی</t>
  </si>
  <si>
    <t>نبشی اتصال نبشی عرضی پایین به ستون</t>
  </si>
  <si>
    <t>PS</t>
  </si>
  <si>
    <t>شبکه ایربافل</t>
  </si>
  <si>
    <t>قاب طولی</t>
  </si>
  <si>
    <t>چفت</t>
  </si>
  <si>
    <t>بست</t>
  </si>
  <si>
    <t>پیچ شش گوش</t>
  </si>
  <si>
    <t>مهره شش گوش</t>
  </si>
  <si>
    <t>ورق</t>
  </si>
  <si>
    <t>قطعه پیش ساخته</t>
  </si>
  <si>
    <t>پیچ</t>
  </si>
  <si>
    <t>مهره</t>
  </si>
  <si>
    <t>Last Win:</t>
  </si>
  <si>
    <t>Height Divide:</t>
  </si>
  <si>
    <t>Qty.:</t>
  </si>
  <si>
    <t>H Criteria:</t>
  </si>
  <si>
    <t>گالوانیزه</t>
  </si>
  <si>
    <t>پلی پروپیلن</t>
  </si>
  <si>
    <t>Net in C Win:</t>
  </si>
  <si>
    <t>Net in NC Win:</t>
  </si>
  <si>
    <t>Eliminator:</t>
  </si>
  <si>
    <t>Airbaffle:</t>
  </si>
  <si>
    <t>Length</t>
  </si>
  <si>
    <t>Riser:</t>
  </si>
  <si>
    <t>Diameter</t>
  </si>
  <si>
    <t>Width:</t>
  </si>
  <si>
    <t>Height:</t>
  </si>
  <si>
    <t>Specification (mm)</t>
  </si>
  <si>
    <t>Part Name</t>
  </si>
  <si>
    <t>Thk. / Diameter</t>
  </si>
  <si>
    <t>Qty</t>
  </si>
  <si>
    <t>Gross Qty.</t>
  </si>
  <si>
    <t>Unit</t>
  </si>
  <si>
    <t>Net Weight (Kg)</t>
  </si>
  <si>
    <t>Scrap</t>
  </si>
  <si>
    <t>فلنج فلزی کلکتور</t>
  </si>
  <si>
    <t>St-37</t>
  </si>
  <si>
    <t>Kg</t>
  </si>
  <si>
    <t>لوله کلکتور</t>
  </si>
  <si>
    <t>پلی اتیلن</t>
  </si>
  <si>
    <t>لوله</t>
  </si>
  <si>
    <t>Ø90</t>
  </si>
  <si>
    <t>Thk=8</t>
  </si>
  <si>
    <t>Pcs</t>
  </si>
  <si>
    <t>درپوش کلکتور</t>
  </si>
  <si>
    <t>فلنج جوشی کلکتور</t>
  </si>
  <si>
    <t>فنجانی کلکتور</t>
  </si>
  <si>
    <t>درپوش فنجانی</t>
  </si>
  <si>
    <t>اورینگ فنجانی</t>
  </si>
  <si>
    <t>لاستیک</t>
  </si>
  <si>
    <t>لوله رایزر</t>
  </si>
  <si>
    <t>P.V.C</t>
  </si>
  <si>
    <t>Ø40</t>
  </si>
  <si>
    <t>Thk=3</t>
  </si>
  <si>
    <t>درپوش رایزر</t>
  </si>
  <si>
    <t>بوش رایزر</t>
  </si>
  <si>
    <t>میلگرد</t>
  </si>
  <si>
    <t>Ø65</t>
  </si>
  <si>
    <t>بدنه نازل</t>
  </si>
  <si>
    <t>پلی کربنات</t>
  </si>
  <si>
    <t>سری نازل</t>
  </si>
  <si>
    <t>پلی پروپلین</t>
  </si>
  <si>
    <t>واشر نازل</t>
  </si>
  <si>
    <t>بست استیل</t>
  </si>
  <si>
    <t>استیل نگیر</t>
  </si>
  <si>
    <t>بست شکلاتی</t>
  </si>
  <si>
    <t>پلاستیک</t>
  </si>
  <si>
    <t>گالوانیزه سرد</t>
  </si>
  <si>
    <t>M</t>
  </si>
  <si>
    <t>پیچ رولپلاگ</t>
  </si>
  <si>
    <t>رولپلاگ</t>
  </si>
  <si>
    <t>نبشی رایزر</t>
  </si>
  <si>
    <t>آهن معمولی</t>
  </si>
  <si>
    <t>نبشی</t>
  </si>
  <si>
    <t>40x40</t>
  </si>
  <si>
    <t>m</t>
  </si>
  <si>
    <t>Riser U Criteria</t>
  </si>
  <si>
    <t>Riser U</t>
  </si>
  <si>
    <t xml:space="preserve"> ناودانی افشانک</t>
  </si>
  <si>
    <t>قاب عرضی</t>
  </si>
  <si>
    <t>N1</t>
  </si>
  <si>
    <t>X</t>
  </si>
  <si>
    <t>Y</t>
  </si>
  <si>
    <t>Z</t>
  </si>
  <si>
    <t>No of C Win:</t>
  </si>
  <si>
    <t>تعداد پنجره کامل</t>
  </si>
  <si>
    <t>عرض پنجره آخر</t>
  </si>
  <si>
    <t>تقسیم ارتفاع</t>
  </si>
  <si>
    <t>تعداد بلوک کامل</t>
  </si>
  <si>
    <t>باقی مانده در ارتفاع</t>
  </si>
  <si>
    <t>تعداد شبکه در Y</t>
  </si>
  <si>
    <t xml:space="preserve">تعداد شبکه در X </t>
  </si>
  <si>
    <t>کل شبکه در پنجره کامل</t>
  </si>
  <si>
    <t>کل شبکه در پنجره آخر</t>
  </si>
  <si>
    <t>G.W.</t>
  </si>
  <si>
    <t>ناودانی افشانک</t>
  </si>
  <si>
    <t>پیچ شش گوش 20*8</t>
  </si>
  <si>
    <t>مهره 8</t>
  </si>
  <si>
    <t>Bolt</t>
  </si>
  <si>
    <t>Nut</t>
  </si>
  <si>
    <t>پیچ شش گوش 10*6</t>
  </si>
  <si>
    <t>مهره 6</t>
  </si>
  <si>
    <t>پیچ دوسو</t>
  </si>
  <si>
    <t>رولپلاک</t>
  </si>
  <si>
    <t>Screw</t>
  </si>
  <si>
    <t>Rawplug</t>
  </si>
  <si>
    <t>واشر تخت</t>
  </si>
  <si>
    <t>A</t>
  </si>
  <si>
    <t>ناودانی طولی داخلی دریچه</t>
  </si>
  <si>
    <t>ناودانی عرضی داخلی دریچه</t>
  </si>
  <si>
    <t>ناودانی عرضی بیرونی دریچه</t>
  </si>
  <si>
    <t>ناودانی طولی بیرونی دریچه</t>
  </si>
  <si>
    <t>پیچ شش گوش 15*6 فلنج تخلیه</t>
  </si>
  <si>
    <t>فلنج تخلیه "1/4 1</t>
  </si>
  <si>
    <t>Pipe</t>
  </si>
  <si>
    <t>S.Steel</t>
  </si>
  <si>
    <t>لوله فلنج تخلیه "3</t>
  </si>
  <si>
    <t>ورق فلنج تخلیه "3</t>
  </si>
  <si>
    <t>Sch10</t>
  </si>
  <si>
    <t>A106</t>
  </si>
  <si>
    <t>لوله تخلیه 90</t>
  </si>
  <si>
    <t>لوله تخلیه 40</t>
  </si>
  <si>
    <t>PVC</t>
  </si>
  <si>
    <t>Code</t>
  </si>
  <si>
    <t>Material Description</t>
  </si>
  <si>
    <t>Spec</t>
  </si>
  <si>
    <t>Mat WHC</t>
  </si>
  <si>
    <t>QP</t>
  </si>
  <si>
    <t>030010000</t>
  </si>
  <si>
    <t>Eliminator</t>
  </si>
  <si>
    <t>011010825</t>
  </si>
  <si>
    <t>012010008</t>
  </si>
  <si>
    <t>011010610</t>
  </si>
  <si>
    <t>012010006</t>
  </si>
  <si>
    <t>030010101</t>
  </si>
  <si>
    <t>030010102</t>
  </si>
  <si>
    <t>030010103</t>
  </si>
  <si>
    <t>030010201</t>
  </si>
  <si>
    <t>030010202</t>
  </si>
  <si>
    <t>030010301</t>
  </si>
  <si>
    <t>030010302</t>
  </si>
  <si>
    <t>030010303</t>
  </si>
  <si>
    <t>030010306</t>
  </si>
  <si>
    <t>030010307</t>
  </si>
  <si>
    <t>030010308</t>
  </si>
  <si>
    <t>030010309</t>
  </si>
  <si>
    <t>030010310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</si>
  <si>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</si>
  <si>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</si>
  <si>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</si>
  <si>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</si>
  <si>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</si>
  <si>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</si>
  <si>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</si>
  <si>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030010401</t>
  </si>
  <si>
    <t>030010402</t>
  </si>
  <si>
    <t>030010403</t>
  </si>
  <si>
    <t>030010404</t>
  </si>
  <si>
    <t>030010405</t>
  </si>
  <si>
    <t>030010406</t>
  </si>
  <si>
    <t>030010407</t>
  </si>
  <si>
    <t>030010500</t>
  </si>
  <si>
    <t>030010501</t>
  </si>
  <si>
    <t>ورق گالوانیزه 1000*1.5</t>
  </si>
  <si>
    <t>پیچ تمام حدیده  M8*25</t>
  </si>
  <si>
    <t>مهره دنده درشت  M8</t>
  </si>
  <si>
    <t>پیچ تمام حدیده  M6*10</t>
  </si>
  <si>
    <t>مهره دنده درشت  M6</t>
  </si>
  <si>
    <t>لوله آهن سیاه "3 ، Sch 10</t>
  </si>
  <si>
    <t>سیاه</t>
  </si>
  <si>
    <t>ورق سیاه 1250*5</t>
  </si>
  <si>
    <t>لوله استیل  "1/4 1 ، Sch 10</t>
  </si>
  <si>
    <t>لوله پولیکا 90</t>
  </si>
  <si>
    <t>پی وی سی</t>
  </si>
  <si>
    <t>لوله پولیکا 40</t>
  </si>
  <si>
    <t>ورق گالوانیزه 1000*2</t>
  </si>
  <si>
    <t>پیچ تمام حدیده  M6*15</t>
  </si>
  <si>
    <t>پیچ دوسو 50*5</t>
  </si>
  <si>
    <t>رولپلاگ 40*6</t>
  </si>
  <si>
    <t>مواد خام ABS</t>
  </si>
  <si>
    <t>مهره برنجی M5</t>
  </si>
  <si>
    <t>برنج</t>
  </si>
  <si>
    <t>مهره دنده درشت  M5</t>
  </si>
  <si>
    <t>میله الیمیناتور 304*5</t>
  </si>
  <si>
    <t>مسوار</t>
  </si>
  <si>
    <t>فاصله میانی الیمیناتور</t>
  </si>
  <si>
    <t>پلی استایرن</t>
  </si>
  <si>
    <t>فاصله آخر الیمیناتور</t>
  </si>
  <si>
    <t>276200090</t>
  </si>
  <si>
    <t>276200040</t>
  </si>
  <si>
    <t>kg</t>
  </si>
  <si>
    <t>030010100</t>
  </si>
  <si>
    <t>Eliminator Bundle</t>
  </si>
  <si>
    <t>Eliminator Frame</t>
  </si>
  <si>
    <t>Airbaffle</t>
  </si>
  <si>
    <t>Airbaffle Frame</t>
  </si>
  <si>
    <t>030020000</t>
  </si>
  <si>
    <t>030020100</t>
  </si>
  <si>
    <t>ناودانی عرضی</t>
  </si>
  <si>
    <t>ناودانی طولی</t>
  </si>
  <si>
    <t>ناودانی عرضی داخل</t>
  </si>
  <si>
    <t>ناودانی طولی داخل</t>
  </si>
  <si>
    <t>ناودانی عرضی بیرون</t>
  </si>
  <si>
    <t>ناودانی طولی بیرون</t>
  </si>
  <si>
    <t>Airbaffle Mesh</t>
  </si>
  <si>
    <t>030020200</t>
  </si>
  <si>
    <t>Airbaffle Hatch</t>
  </si>
  <si>
    <t>030020300</t>
  </si>
  <si>
    <t>950500001</t>
  </si>
  <si>
    <t>950500002</t>
  </si>
  <si>
    <t>950500003</t>
  </si>
  <si>
    <t>011010640</t>
  </si>
  <si>
    <t>012100616</t>
  </si>
  <si>
    <t>030020101</t>
  </si>
  <si>
    <t>030020102</t>
  </si>
  <si>
    <t>030020301</t>
  </si>
  <si>
    <t>030020302</t>
  </si>
  <si>
    <t>030020303</t>
  </si>
  <si>
    <t>030020304</t>
  </si>
  <si>
    <t>پیچ رولپلاک 50*5</t>
  </si>
  <si>
    <t>چفت ایربافل</t>
  </si>
  <si>
    <t>بست ایربافل</t>
  </si>
  <si>
    <t>پیچ تمام حدیده  M6*40</t>
  </si>
  <si>
    <t>واشر تخت 16*6</t>
  </si>
  <si>
    <t>Nozzle Bank</t>
  </si>
  <si>
    <t>030030000</t>
  </si>
  <si>
    <t>Collector 1520</t>
  </si>
  <si>
    <t>950800002</t>
  </si>
  <si>
    <t>220504050</t>
  </si>
  <si>
    <t>950800014</t>
  </si>
  <si>
    <t>951000006</t>
  </si>
  <si>
    <t>950800008</t>
  </si>
  <si>
    <t>950800001</t>
  </si>
  <si>
    <t>030030101</t>
  </si>
  <si>
    <t>030030104</t>
  </si>
  <si>
    <t>لوله پلی اتیلن 110</t>
  </si>
  <si>
    <t>درپوش جوشی کلکتور 110</t>
  </si>
  <si>
    <t>فلنج جوشی کلکتور 110</t>
  </si>
  <si>
    <t>ورق سیاه 1500*10</t>
  </si>
  <si>
    <t>اورینگ فنجانی کلکتور 50*40*5</t>
  </si>
  <si>
    <t>درپوش فنجانی کلکتور آبی رنگ</t>
  </si>
  <si>
    <t>میلگرد پلی اتیلن 65</t>
  </si>
  <si>
    <t>Collector 1824</t>
  </si>
  <si>
    <t>Collector 2128</t>
  </si>
  <si>
    <t>Collector 2432</t>
  </si>
  <si>
    <t>Collector 2736</t>
  </si>
  <si>
    <t>Collector 3040</t>
  </si>
  <si>
    <t>فلنج فلزی 4 اینچ</t>
  </si>
  <si>
    <t>Riser</t>
  </si>
  <si>
    <t xml:space="preserve">بدنه افشانک </t>
  </si>
  <si>
    <t xml:space="preserve">سری افشانک </t>
  </si>
  <si>
    <t xml:space="preserve">واشر آب بند </t>
  </si>
  <si>
    <t>951000002</t>
  </si>
  <si>
    <t>951000005</t>
  </si>
  <si>
    <t>951000008</t>
  </si>
  <si>
    <t>951000009</t>
  </si>
  <si>
    <t>951000040</t>
  </si>
  <si>
    <t>951000004</t>
  </si>
  <si>
    <t>011010630</t>
  </si>
  <si>
    <t>030030300</t>
  </si>
  <si>
    <t>030030301</t>
  </si>
  <si>
    <t>030030400</t>
  </si>
  <si>
    <t>030030500</t>
  </si>
  <si>
    <t>030030501</t>
  </si>
  <si>
    <t>030030600</t>
  </si>
  <si>
    <t>030030700</t>
  </si>
  <si>
    <t>030030701</t>
  </si>
  <si>
    <t>لوله رایزر خام 40</t>
  </si>
  <si>
    <t>درپوش لوله رایزر 40</t>
  </si>
  <si>
    <t>سری نازل سفید 3</t>
  </si>
  <si>
    <t>پلی اتیلن+استیل نگیر 0.5</t>
  </si>
  <si>
    <t>واشر لاستیکی نازل</t>
  </si>
  <si>
    <t>بست استیل نازل 40</t>
  </si>
  <si>
    <t>پایه پلاستیکی نگهدارنده لوله رایزر</t>
  </si>
  <si>
    <t>پیچ تمام حدیده  M6*30</t>
  </si>
  <si>
    <t>نبشی اهن 50*50</t>
  </si>
  <si>
    <t>Spray Nozzle</t>
  </si>
  <si>
    <t>Riser Support Beam</t>
  </si>
  <si>
    <t>Riser Support Stand</t>
  </si>
  <si>
    <t>Riser Support Base</t>
  </si>
  <si>
    <t>لوله سرریز</t>
  </si>
  <si>
    <t>لاستیک سرریز</t>
  </si>
  <si>
    <t>قیفی سرریز</t>
  </si>
  <si>
    <t>Overflow</t>
  </si>
  <si>
    <t>950800011</t>
  </si>
  <si>
    <t>950800010</t>
  </si>
  <si>
    <t>011051495</t>
  </si>
  <si>
    <t>012010014</t>
  </si>
  <si>
    <t>030040100</t>
  </si>
  <si>
    <t>030040101</t>
  </si>
  <si>
    <t>لوله پولیکا 110</t>
  </si>
  <si>
    <t>لاستیک لوله سرریز</t>
  </si>
  <si>
    <t>قیفی لوله سرریز</t>
  </si>
  <si>
    <t>آلومینیوم</t>
  </si>
  <si>
    <t>پیچ 1/3 حدیده  M14*120</t>
  </si>
  <si>
    <t>011051496</t>
  </si>
  <si>
    <t>مهره دنده درشت M14</t>
  </si>
  <si>
    <t>Sight Hatch</t>
  </si>
  <si>
    <t>صفحه بزرگ درب</t>
  </si>
  <si>
    <t>صفحه کوچک درب</t>
  </si>
  <si>
    <t>ناودانی تقویتی</t>
  </si>
  <si>
    <t>بوش دستگیره</t>
  </si>
  <si>
    <t>واشر دستگیره</t>
  </si>
  <si>
    <t>فوم</t>
  </si>
  <si>
    <t>لاستیک اسفنجی</t>
  </si>
  <si>
    <t>سیخک</t>
  </si>
  <si>
    <t>دستگیره 1</t>
  </si>
  <si>
    <t>دستگیره 2</t>
  </si>
  <si>
    <t>پیچ سر آلن</t>
  </si>
  <si>
    <t>لولا نری</t>
  </si>
  <si>
    <t>لولا مادگی</t>
  </si>
  <si>
    <t>صفحه لولا 1</t>
  </si>
  <si>
    <t>صفحه لولا 2</t>
  </si>
  <si>
    <t>مهره کاسه نمددار</t>
  </si>
  <si>
    <t>طلق دریچه بازدید</t>
  </si>
  <si>
    <t>دستگیره طلق دریچه بازدید</t>
  </si>
  <si>
    <t>مهره دستگیره طلق دریچه بازدید</t>
  </si>
  <si>
    <t>ریل طلق</t>
  </si>
  <si>
    <t>219110000</t>
  </si>
  <si>
    <t>219110001</t>
  </si>
  <si>
    <t>011150640</t>
  </si>
  <si>
    <t>011010870</t>
  </si>
  <si>
    <t>012050008</t>
  </si>
  <si>
    <t>012070008</t>
  </si>
  <si>
    <t>030050101</t>
  </si>
  <si>
    <t>030050102</t>
  </si>
  <si>
    <t>030050103</t>
  </si>
  <si>
    <t>030050104</t>
  </si>
  <si>
    <t>030050105</t>
  </si>
  <si>
    <t>030050106</t>
  </si>
  <si>
    <t>030050107</t>
  </si>
  <si>
    <t>030050108</t>
  </si>
  <si>
    <t>030050201</t>
  </si>
  <si>
    <t>030050202</t>
  </si>
  <si>
    <t>030050203</t>
  </si>
  <si>
    <t>030050401</t>
  </si>
  <si>
    <t>030050402</t>
  </si>
  <si>
    <t>030050403</t>
  </si>
  <si>
    <t>030050404</t>
  </si>
  <si>
    <t>030050501</t>
  </si>
  <si>
    <t>030050502</t>
  </si>
  <si>
    <t>030050504</t>
  </si>
  <si>
    <t>030050100</t>
  </si>
  <si>
    <t>ورق گالوانیزه 1000*1.2</t>
  </si>
  <si>
    <t>لوله آهن 3/4</t>
  </si>
  <si>
    <t>اهن معمولی</t>
  </si>
  <si>
    <t>ورق سیاه 1250*3</t>
  </si>
  <si>
    <t>ورق پلاستوفوم 2000*1000*40</t>
  </si>
  <si>
    <t>تسمه لاستیکی 30*5</t>
  </si>
  <si>
    <t>قوطی اهن 80*40</t>
  </si>
  <si>
    <t>قوطی اهن 40*40</t>
  </si>
  <si>
    <t>دستگیره درب تهویه نری</t>
  </si>
  <si>
    <t>دستگیره درب تهویه مادگی</t>
  </si>
  <si>
    <t>پیچ آلن M6*40</t>
  </si>
  <si>
    <t>میلگرد آهن 14</t>
  </si>
  <si>
    <t>میلگرد آهن 16</t>
  </si>
  <si>
    <t>پیچ تمام حدیده  M8*70</t>
  </si>
  <si>
    <t>مهره کاسه نمدی   M8</t>
  </si>
  <si>
    <t>طلق شیشه ای 1800*1200*8</t>
  </si>
  <si>
    <t>پلکسی گلاس</t>
  </si>
  <si>
    <t>میلگرد استیل 8</t>
  </si>
  <si>
    <t>مهره دنده درشت استیل M8</t>
  </si>
  <si>
    <t>ورق استیل 2000*1000*1.5</t>
  </si>
  <si>
    <t>Sheet</t>
  </si>
  <si>
    <t>030030100</t>
  </si>
  <si>
    <t>Material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</si>
</sst>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name val="B Nazanin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mbria"/>
      <family val="1"/>
    </font>
    <font>
      <sz val="8"/>
      <color rgb="FF000000"/>
      <name val="B Nazanin"/>
      <charset val="178"/>
    </font>
    <font>
      <sz val="8"/>
      <color rgb="FF000000"/>
      <name val="Times New Roman"/>
      <family val="1"/>
    </font>
    <font>
      <sz val="10"/>
      <color theme="1"/>
      <name val="B Nazanin"/>
      <charset val="178"/>
    </font>
    <font>
      <sz val="9"/>
      <color theme="1"/>
      <name val="Times New Roman"/>
      <family val="1"/>
    </font>
    <font>
      <sz val="10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darkUp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" fillId="0" borderId="0"/>
  </cellStyleXfs>
  <cellXfs count="14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8" xfId="0" applyFont="1" applyBorder="1"/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5" fillId="0" borderId="10" xfId="0" applyFont="1" applyBorder="1" applyAlignment="1">
      <alignment horizontal="center" vertical="center"/>
    </xf>
    <xf numFmtId="0" fontId="6" fillId="0" borderId="0" xfId="0" applyFont="1"/>
    <xf numFmtId="0" fontId="0" fillId="0" borderId="1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Font="1" applyBorder="1"/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9" fontId="14" fillId="3" borderId="1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9" fontId="1" fillId="0" borderId="12" xfId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7" xfId="0" applyBorder="1"/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3" fillId="5" borderId="20" xfId="0" applyNumberFormat="1" applyFont="1" applyFill="1" applyBorder="1" applyAlignment="1">
      <alignment horizontal="center" vertical="center"/>
    </xf>
    <xf numFmtId="1" fontId="3" fillId="5" borderId="19" xfId="0" applyNumberFormat="1" applyFont="1" applyFill="1" applyBorder="1" applyAlignment="1">
      <alignment horizontal="center" vertical="center"/>
    </xf>
    <xf numFmtId="9" fontId="1" fillId="5" borderId="9" xfId="1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2" fontId="3" fillId="5" borderId="16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9" fontId="1" fillId="5" borderId="30" xfId="1" applyFont="1" applyFill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0" fillId="0" borderId="0" xfId="0" applyNumberFormat="1"/>
    <xf numFmtId="2" fontId="4" fillId="0" borderId="26" xfId="0" applyNumberFormat="1" applyFont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2" fontId="19" fillId="6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2" fontId="19" fillId="6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"/>
  <sheetViews>
    <sheetView tabSelected="1" workbookViewId="0">
      <selection activeCell="B10" sqref="B10"/>
    </sheetView>
  </sheetViews>
  <sheetFormatPr defaultRowHeight="15" x14ac:dyDescent="0.25"/>
  <cols>
    <col min="1" max="1" width="17.42578125" style="23" bestFit="1" customWidth="1"/>
    <col min="2" max="5" width="9.140625" style="23"/>
    <col min="6" max="6" width="12.7109375" style="23" hidden="1" customWidth="1"/>
    <col min="7" max="7" width="11" style="23" hidden="1" customWidth="1"/>
    <col min="8" max="10" width="0" style="23" hidden="1" customWidth="1"/>
    <col min="11" max="12" width="9.140625" style="23"/>
    <col min="13" max="13" width="0" style="23" hidden="1" customWidth="1"/>
    <col min="14" max="16384" width="9.140625" style="23"/>
  </cols>
  <sheetData>
    <row r="2" spans="1:13" x14ac:dyDescent="0.25">
      <c r="B2" s="24" t="s">
        <v>6</v>
      </c>
      <c r="C2" s="24" t="s">
        <v>7</v>
      </c>
      <c r="D2" s="24" t="s">
        <v>3</v>
      </c>
      <c r="H2" s="24" t="s">
        <v>70</v>
      </c>
      <c r="I2" s="24" t="s">
        <v>3</v>
      </c>
      <c r="J2" s="24" t="s">
        <v>72</v>
      </c>
      <c r="M2" s="60">
        <v>90</v>
      </c>
    </row>
    <row r="3" spans="1:13" ht="15.75" x14ac:dyDescent="0.25">
      <c r="A3" s="24" t="s">
        <v>68</v>
      </c>
      <c r="B3" s="24">
        <v>5000</v>
      </c>
      <c r="C3" s="24">
        <v>5000</v>
      </c>
      <c r="D3" s="24">
        <v>1</v>
      </c>
      <c r="F3" s="65"/>
      <c r="G3" s="24"/>
      <c r="H3" s="24"/>
      <c r="I3" s="24"/>
      <c r="J3" s="24"/>
      <c r="M3" s="60">
        <v>110</v>
      </c>
    </row>
    <row r="4" spans="1:13" ht="15.75" x14ac:dyDescent="0.25">
      <c r="A4" s="24" t="s">
        <v>69</v>
      </c>
      <c r="B4" s="24">
        <v>2000</v>
      </c>
      <c r="C4" s="24">
        <v>2000</v>
      </c>
      <c r="D4" s="24">
        <v>1</v>
      </c>
      <c r="F4" s="64"/>
      <c r="G4" s="24"/>
      <c r="H4" s="24"/>
      <c r="I4" s="24"/>
      <c r="J4" s="24"/>
    </row>
    <row r="5" spans="1:13" x14ac:dyDescent="0.25">
      <c r="A5" s="24" t="s">
        <v>71</v>
      </c>
      <c r="B5" s="24">
        <v>1000</v>
      </c>
      <c r="C5" s="135"/>
      <c r="D5" s="24">
        <v>1</v>
      </c>
      <c r="G5" s="24" t="s">
        <v>71</v>
      </c>
      <c r="H5" s="24">
        <f>B5</f>
        <v>1000</v>
      </c>
      <c r="I5" s="24">
        <f>D5</f>
        <v>1</v>
      </c>
    </row>
  </sheetData>
  <dataValidations disablePrompts="1" count="1">
    <dataValidation type="list" allowBlank="1" showInputMessage="1" showErrorMessage="1" sqref="J3:J4">
      <formula1>$M$2:$M$3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5" sqref="B5"/>
    </sheetView>
  </sheetViews>
  <sheetFormatPr defaultRowHeight="12.75" x14ac:dyDescent="0.25"/>
  <cols>
    <col min="1" max="1" width="26" style="136" bestFit="1" customWidth="1"/>
    <col min="2" max="2" width="9.140625" style="136"/>
    <col min="3" max="3" width="10" style="136" bestFit="1" customWidth="1"/>
    <col min="4" max="4" width="6.140625" style="136" bestFit="1" customWidth="1"/>
    <col min="5" max="5" width="11.28515625" style="136" bestFit="1" customWidth="1"/>
    <col min="6" max="16384" width="9.140625" style="136"/>
  </cols>
  <sheetData>
    <row r="1" spans="1:5" x14ac:dyDescent="0.25">
      <c r="A1" s="127" t="s">
        <v>172</v>
      </c>
      <c r="B1" s="127" t="s">
        <v>173</v>
      </c>
      <c r="C1" s="127" t="s">
        <v>174</v>
      </c>
      <c r="D1" s="127" t="s">
        <v>80</v>
      </c>
      <c r="E1" s="127" t="s">
        <v>413</v>
      </c>
    </row>
    <row r="2" spans="1:5" x14ac:dyDescent="0.25">
      <c r="A2" s="127" t="s">
        <v>226</v>
      </c>
      <c r="B2" s="127" t="s">
        <v>114</v>
      </c>
      <c r="C2" s="127" t="s">
        <v>197</v>
      </c>
      <c r="D2" s="127" t="s">
        <v>91</v>
      </c>
      <c r="E2" s="127"/>
    </row>
    <row r="3" spans="1:5" x14ac:dyDescent="0.25">
      <c r="A3" s="127" t="s">
        <v>215</v>
      </c>
      <c r="B3" s="127" t="s">
        <v>64</v>
      </c>
      <c r="C3" s="127" t="s">
        <v>181</v>
      </c>
      <c r="D3" s="127" t="s">
        <v>91</v>
      </c>
      <c r="E3" s="127"/>
    </row>
    <row r="4" spans="1:5" x14ac:dyDescent="0.25">
      <c r="A4" s="127" t="s">
        <v>211</v>
      </c>
      <c r="B4" s="127" t="s">
        <v>64</v>
      </c>
      <c r="C4" s="127">
        <v>140150100</v>
      </c>
      <c r="D4" s="127" t="s">
        <v>238</v>
      </c>
      <c r="E4" s="127"/>
    </row>
    <row r="5" spans="1:5" x14ac:dyDescent="0.25">
      <c r="A5" s="127" t="s">
        <v>267</v>
      </c>
      <c r="B5" s="127" t="s">
        <v>64</v>
      </c>
      <c r="C5" s="127" t="s">
        <v>196</v>
      </c>
      <c r="D5" s="127" t="s">
        <v>91</v>
      </c>
      <c r="E5" s="127"/>
    </row>
    <row r="6" spans="1:5" x14ac:dyDescent="0.25">
      <c r="A6" s="127" t="s">
        <v>283</v>
      </c>
      <c r="B6" s="127" t="s">
        <v>87</v>
      </c>
      <c r="C6" s="127">
        <v>276300110</v>
      </c>
      <c r="D6" s="127" t="s">
        <v>123</v>
      </c>
      <c r="E6" s="127"/>
    </row>
    <row r="7" spans="1:5" x14ac:dyDescent="0.25">
      <c r="A7" s="127" t="s">
        <v>284</v>
      </c>
      <c r="B7" s="127" t="s">
        <v>87</v>
      </c>
      <c r="C7" s="127" t="s">
        <v>279</v>
      </c>
      <c r="D7" s="127" t="s">
        <v>91</v>
      </c>
      <c r="E7" s="127"/>
    </row>
    <row r="8" spans="1:5" x14ac:dyDescent="0.25">
      <c r="A8" s="127" t="s">
        <v>285</v>
      </c>
      <c r="B8" s="127" t="s">
        <v>87</v>
      </c>
      <c r="C8" s="127" t="s">
        <v>280</v>
      </c>
      <c r="D8" s="127" t="s">
        <v>91</v>
      </c>
      <c r="E8" s="127"/>
    </row>
    <row r="9" spans="1:5" x14ac:dyDescent="0.25">
      <c r="A9" s="127" t="s">
        <v>286</v>
      </c>
      <c r="B9" s="127" t="s">
        <v>217</v>
      </c>
      <c r="C9" s="127">
        <v>131000150</v>
      </c>
      <c r="D9" s="127" t="s">
        <v>238</v>
      </c>
      <c r="E9" s="127"/>
    </row>
    <row r="10" spans="1:5" x14ac:dyDescent="0.25">
      <c r="A10" s="127" t="s">
        <v>94</v>
      </c>
      <c r="B10" s="127" t="s">
        <v>87</v>
      </c>
      <c r="C10" s="127" t="s">
        <v>275</v>
      </c>
      <c r="D10" s="127" t="s">
        <v>91</v>
      </c>
      <c r="E10" s="127"/>
    </row>
    <row r="11" spans="1:5" x14ac:dyDescent="0.25">
      <c r="A11" s="127" t="s">
        <v>287</v>
      </c>
      <c r="B11" s="127" t="s">
        <v>97</v>
      </c>
      <c r="C11" s="127" t="s">
        <v>276</v>
      </c>
      <c r="D11" s="127" t="s">
        <v>91</v>
      </c>
      <c r="E11" s="127"/>
    </row>
    <row r="12" spans="1:5" x14ac:dyDescent="0.25">
      <c r="A12" s="127" t="s">
        <v>288</v>
      </c>
      <c r="B12" s="127" t="s">
        <v>36</v>
      </c>
      <c r="C12" s="127" t="s">
        <v>277</v>
      </c>
      <c r="D12" s="127" t="s">
        <v>91</v>
      </c>
      <c r="E12" s="127"/>
    </row>
    <row r="13" spans="1:5" x14ac:dyDescent="0.25">
      <c r="A13" s="127" t="s">
        <v>289</v>
      </c>
      <c r="B13" s="127" t="s">
        <v>87</v>
      </c>
      <c r="C13" s="127">
        <v>259110065</v>
      </c>
      <c r="D13" s="127" t="s">
        <v>238</v>
      </c>
      <c r="E13" s="127"/>
    </row>
    <row r="14" spans="1:5" x14ac:dyDescent="0.25">
      <c r="A14" s="127" t="s">
        <v>315</v>
      </c>
      <c r="B14" s="127" t="s">
        <v>221</v>
      </c>
      <c r="C14" s="127">
        <v>276300040</v>
      </c>
      <c r="D14" s="127" t="s">
        <v>123</v>
      </c>
      <c r="E14" s="127"/>
    </row>
    <row r="15" spans="1:5" x14ac:dyDescent="0.25">
      <c r="A15" s="127" t="s">
        <v>316</v>
      </c>
      <c r="B15" s="127" t="s">
        <v>65</v>
      </c>
      <c r="C15" s="127" t="s">
        <v>300</v>
      </c>
      <c r="D15" s="127" t="s">
        <v>91</v>
      </c>
      <c r="E15" s="127"/>
    </row>
    <row r="16" spans="1:5" x14ac:dyDescent="0.25">
      <c r="A16" s="127" t="s">
        <v>106</v>
      </c>
      <c r="B16" s="127" t="s">
        <v>107</v>
      </c>
      <c r="C16" s="127" t="s">
        <v>301</v>
      </c>
      <c r="D16" s="127" t="s">
        <v>91</v>
      </c>
      <c r="E16" s="127"/>
    </row>
    <row r="17" spans="1:5" x14ac:dyDescent="0.25">
      <c r="A17" s="127" t="s">
        <v>317</v>
      </c>
      <c r="B17" s="127" t="s">
        <v>318</v>
      </c>
      <c r="C17" s="127" t="s">
        <v>302</v>
      </c>
      <c r="D17" s="127" t="s">
        <v>91</v>
      </c>
      <c r="E17" s="127"/>
    </row>
    <row r="18" spans="1:5" x14ac:dyDescent="0.25">
      <c r="A18" s="127" t="s">
        <v>319</v>
      </c>
      <c r="B18" s="127" t="s">
        <v>97</v>
      </c>
      <c r="C18" s="127" t="s">
        <v>303</v>
      </c>
      <c r="D18" s="127" t="s">
        <v>91</v>
      </c>
      <c r="E18" s="127"/>
    </row>
    <row r="19" spans="1:5" x14ac:dyDescent="0.25">
      <c r="A19" s="127" t="s">
        <v>320</v>
      </c>
      <c r="B19" s="127" t="s">
        <v>112</v>
      </c>
      <c r="C19" s="127" t="s">
        <v>304</v>
      </c>
      <c r="D19" s="127" t="s">
        <v>91</v>
      </c>
      <c r="E19" s="127"/>
    </row>
    <row r="20" spans="1:5" x14ac:dyDescent="0.25">
      <c r="A20" s="127" t="s">
        <v>321</v>
      </c>
      <c r="B20" s="127" t="s">
        <v>65</v>
      </c>
      <c r="C20" s="127" t="s">
        <v>305</v>
      </c>
      <c r="D20" s="127" t="s">
        <v>91</v>
      </c>
      <c r="E20" s="127"/>
    </row>
    <row r="21" spans="1:5" x14ac:dyDescent="0.25">
      <c r="A21" s="127" t="s">
        <v>322</v>
      </c>
      <c r="B21" s="127" t="s">
        <v>64</v>
      </c>
      <c r="C21" s="127" t="s">
        <v>306</v>
      </c>
      <c r="D21" s="127" t="s">
        <v>91</v>
      </c>
      <c r="E21" s="127"/>
    </row>
    <row r="22" spans="1:5" x14ac:dyDescent="0.25">
      <c r="A22" s="127" t="s">
        <v>323</v>
      </c>
      <c r="B22" s="127" t="s">
        <v>120</v>
      </c>
      <c r="C22" s="127">
        <v>221050505</v>
      </c>
      <c r="D22" s="127" t="s">
        <v>238</v>
      </c>
      <c r="E22" s="127"/>
    </row>
    <row r="23" spans="1:5" x14ac:dyDescent="0.25">
      <c r="A23" s="127" t="s">
        <v>338</v>
      </c>
      <c r="B23" s="127" t="s">
        <v>221</v>
      </c>
      <c r="C23" s="127">
        <v>276200110</v>
      </c>
      <c r="D23" s="127" t="s">
        <v>123</v>
      </c>
      <c r="E23" s="127"/>
    </row>
    <row r="24" spans="1:5" x14ac:dyDescent="0.25">
      <c r="A24" s="127" t="s">
        <v>339</v>
      </c>
      <c r="B24" s="127" t="s">
        <v>97</v>
      </c>
      <c r="C24" s="127" t="s">
        <v>332</v>
      </c>
      <c r="D24" s="127" t="s">
        <v>91</v>
      </c>
      <c r="E24" s="127"/>
    </row>
    <row r="25" spans="1:5" x14ac:dyDescent="0.25">
      <c r="A25" s="127" t="s">
        <v>340</v>
      </c>
      <c r="B25" s="127" t="s">
        <v>341</v>
      </c>
      <c r="C25" s="127" t="s">
        <v>333</v>
      </c>
      <c r="D25" s="127" t="s">
        <v>91</v>
      </c>
      <c r="E25" s="127"/>
    </row>
    <row r="26" spans="1:5" x14ac:dyDescent="0.25">
      <c r="A26" s="127" t="s">
        <v>342</v>
      </c>
      <c r="B26" s="127" t="s">
        <v>64</v>
      </c>
      <c r="C26" s="127" t="s">
        <v>343</v>
      </c>
      <c r="D26" s="127" t="s">
        <v>91</v>
      </c>
      <c r="E26" s="127"/>
    </row>
    <row r="27" spans="1:5" x14ac:dyDescent="0.25">
      <c r="A27" s="127" t="s">
        <v>344</v>
      </c>
      <c r="B27" s="127" t="s">
        <v>64</v>
      </c>
      <c r="C27" s="127" t="s">
        <v>335</v>
      </c>
      <c r="D27" s="127" t="s">
        <v>91</v>
      </c>
      <c r="E27" s="127"/>
    </row>
    <row r="28" spans="1:5" x14ac:dyDescent="0.25">
      <c r="A28" s="127" t="s">
        <v>391</v>
      </c>
      <c r="B28" s="127" t="s">
        <v>64</v>
      </c>
      <c r="C28" s="127">
        <v>140120100</v>
      </c>
      <c r="D28" s="127" t="s">
        <v>238</v>
      </c>
      <c r="E28" s="127"/>
    </row>
    <row r="29" spans="1:5" x14ac:dyDescent="0.25">
      <c r="A29" s="127" t="s">
        <v>392</v>
      </c>
      <c r="B29" s="127" t="s">
        <v>393</v>
      </c>
      <c r="C29" s="127">
        <v>271100006</v>
      </c>
      <c r="D29" s="127" t="s">
        <v>238</v>
      </c>
      <c r="E29" s="127"/>
    </row>
    <row r="30" spans="1:5" x14ac:dyDescent="0.25">
      <c r="A30" s="127" t="s">
        <v>218</v>
      </c>
      <c r="B30" s="127" t="s">
        <v>217</v>
      </c>
      <c r="C30" s="127">
        <v>130500125</v>
      </c>
      <c r="D30" s="127" t="s">
        <v>238</v>
      </c>
      <c r="E30" s="127"/>
    </row>
    <row r="31" spans="1:5" x14ac:dyDescent="0.25">
      <c r="A31" s="127" t="s">
        <v>394</v>
      </c>
      <c r="B31" s="127" t="s">
        <v>217</v>
      </c>
      <c r="C31" s="127">
        <v>130300125</v>
      </c>
      <c r="D31" s="127" t="s">
        <v>238</v>
      </c>
      <c r="E31" s="127"/>
    </row>
    <row r="32" spans="1:5" x14ac:dyDescent="0.25">
      <c r="A32" s="127" t="s">
        <v>395</v>
      </c>
      <c r="B32" s="127" t="s">
        <v>234</v>
      </c>
      <c r="C32" s="127">
        <v>199114000</v>
      </c>
      <c r="D32" s="127" t="s">
        <v>411</v>
      </c>
      <c r="E32" s="127"/>
    </row>
    <row r="33" spans="1:5" x14ac:dyDescent="0.25">
      <c r="A33" s="127" t="s">
        <v>396</v>
      </c>
      <c r="B33" s="127" t="s">
        <v>97</v>
      </c>
      <c r="C33" s="127">
        <v>953800530</v>
      </c>
      <c r="D33" s="127" t="s">
        <v>123</v>
      </c>
      <c r="E33" s="127"/>
    </row>
    <row r="34" spans="1:5" x14ac:dyDescent="0.25">
      <c r="A34" s="127" t="s">
        <v>397</v>
      </c>
      <c r="B34" s="127" t="s">
        <v>120</v>
      </c>
      <c r="C34" s="127">
        <v>231040080</v>
      </c>
      <c r="D34" s="127" t="s">
        <v>238</v>
      </c>
      <c r="E34" s="127"/>
    </row>
    <row r="35" spans="1:5" x14ac:dyDescent="0.25">
      <c r="A35" s="127" t="s">
        <v>398</v>
      </c>
      <c r="B35" s="127" t="s">
        <v>120</v>
      </c>
      <c r="C35" s="127">
        <v>231040040</v>
      </c>
      <c r="D35" s="127" t="s">
        <v>238</v>
      </c>
      <c r="E35" s="127"/>
    </row>
    <row r="36" spans="1:5" x14ac:dyDescent="0.25">
      <c r="A36" s="127" t="s">
        <v>399</v>
      </c>
      <c r="B36" s="127" t="s">
        <v>341</v>
      </c>
      <c r="C36" s="127" t="s">
        <v>366</v>
      </c>
      <c r="D36" s="127" t="s">
        <v>91</v>
      </c>
      <c r="E36" s="127"/>
    </row>
    <row r="37" spans="1:5" x14ac:dyDescent="0.25">
      <c r="A37" s="127" t="s">
        <v>400</v>
      </c>
      <c r="B37" s="127" t="s">
        <v>341</v>
      </c>
      <c r="C37" s="127" t="s">
        <v>367</v>
      </c>
      <c r="D37" s="127" t="s">
        <v>91</v>
      </c>
      <c r="E37" s="127"/>
    </row>
    <row r="38" spans="1:5" x14ac:dyDescent="0.25">
      <c r="A38" s="127" t="s">
        <v>401</v>
      </c>
      <c r="B38" s="127" t="s">
        <v>64</v>
      </c>
      <c r="C38" s="127">
        <v>11150640</v>
      </c>
      <c r="D38" s="127" t="s">
        <v>91</v>
      </c>
      <c r="E38" s="127"/>
    </row>
    <row r="39" spans="1:5" x14ac:dyDescent="0.25">
      <c r="A39" s="127" t="s">
        <v>402</v>
      </c>
      <c r="B39" s="127" t="s">
        <v>120</v>
      </c>
      <c r="C39" s="127">
        <v>251100014</v>
      </c>
      <c r="D39" s="127" t="s">
        <v>238</v>
      </c>
      <c r="E39" s="127"/>
    </row>
    <row r="40" spans="1:5" x14ac:dyDescent="0.25">
      <c r="A40" s="127" t="s">
        <v>403</v>
      </c>
      <c r="B40" s="127" t="s">
        <v>120</v>
      </c>
      <c r="C40" s="127">
        <v>251100016</v>
      </c>
      <c r="D40" s="127" t="s">
        <v>238</v>
      </c>
      <c r="E40" s="127"/>
    </row>
    <row r="41" spans="1:5" x14ac:dyDescent="0.25">
      <c r="A41" s="127" t="s">
        <v>404</v>
      </c>
      <c r="B41" s="127" t="s">
        <v>64</v>
      </c>
      <c r="C41" s="127" t="s">
        <v>369</v>
      </c>
      <c r="D41" s="127" t="s">
        <v>91</v>
      </c>
      <c r="E41" s="127"/>
    </row>
    <row r="42" spans="1:5" x14ac:dyDescent="0.25">
      <c r="A42" s="127" t="s">
        <v>405</v>
      </c>
      <c r="B42" s="127" t="s">
        <v>64</v>
      </c>
      <c r="C42" s="127" t="s">
        <v>370</v>
      </c>
      <c r="D42" s="127" t="s">
        <v>91</v>
      </c>
      <c r="E42" s="127"/>
    </row>
    <row r="43" spans="1:5" x14ac:dyDescent="0.25">
      <c r="A43" s="127" t="s">
        <v>406</v>
      </c>
      <c r="B43" s="127" t="s">
        <v>407</v>
      </c>
      <c r="C43" s="127">
        <v>312000003</v>
      </c>
      <c r="D43" s="127" t="s">
        <v>411</v>
      </c>
      <c r="E43" s="127"/>
    </row>
    <row r="44" spans="1:5" x14ac:dyDescent="0.25">
      <c r="A44" s="127" t="s">
        <v>408</v>
      </c>
      <c r="B44" s="127" t="s">
        <v>112</v>
      </c>
      <c r="C44" s="127">
        <v>258180008</v>
      </c>
      <c r="D44" s="127" t="s">
        <v>238</v>
      </c>
      <c r="E44" s="127"/>
    </row>
    <row r="45" spans="1:5" x14ac:dyDescent="0.25">
      <c r="A45" s="127" t="s">
        <v>409</v>
      </c>
      <c r="B45" s="127" t="s">
        <v>112</v>
      </c>
      <c r="C45" s="127" t="s">
        <v>371</v>
      </c>
      <c r="D45" s="127" t="s">
        <v>91</v>
      </c>
      <c r="E45" s="127"/>
    </row>
    <row r="46" spans="1:5" x14ac:dyDescent="0.25">
      <c r="A46" s="127" t="s">
        <v>410</v>
      </c>
      <c r="B46" s="127" t="s">
        <v>112</v>
      </c>
      <c r="C46" s="127">
        <v>180150120</v>
      </c>
      <c r="D46" s="127" t="s">
        <v>238</v>
      </c>
      <c r="E46" s="1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Layout" zoomScaleNormal="85" workbookViewId="0">
      <selection activeCell="O19" sqref="O19"/>
    </sheetView>
  </sheetViews>
  <sheetFormatPr defaultColWidth="9.140625" defaultRowHeight="15" x14ac:dyDescent="0.25"/>
  <cols>
    <col min="1" max="1" width="10.5703125" customWidth="1"/>
    <col min="2" max="2" width="8.42578125" bestFit="1" customWidth="1"/>
    <col min="3" max="3" width="4.85546875" customWidth="1"/>
    <col min="4" max="4" width="4.28515625" customWidth="1"/>
    <col min="5" max="5" width="4.5703125" customWidth="1"/>
    <col min="6" max="6" width="3.85546875" customWidth="1"/>
    <col min="7" max="7" width="28.28515625" customWidth="1"/>
    <col min="8" max="8" width="9.140625" bestFit="1" customWidth="1"/>
    <col min="9" max="9" width="6.140625" customWidth="1"/>
    <col min="10" max="10" width="9.28515625" customWidth="1"/>
    <col min="11" max="11" width="5.7109375" customWidth="1"/>
    <col min="12" max="12" width="9" bestFit="1" customWidth="1"/>
    <col min="13" max="14" width="8.42578125" bestFit="1" customWidth="1"/>
    <col min="15" max="15" width="8.42578125" style="113" bestFit="1" customWidth="1"/>
    <col min="16" max="16" width="6.140625" bestFit="1" customWidth="1"/>
    <col min="17" max="17" width="5.42578125" customWidth="1"/>
    <col min="18" max="18" width="4.28515625" customWidth="1"/>
    <col min="19" max="19" width="5.28515625" customWidth="1"/>
  </cols>
  <sheetData>
    <row r="1" spans="1:16" ht="15.75" thickBot="1" x14ac:dyDescent="0.3">
      <c r="A1" t="s">
        <v>44</v>
      </c>
      <c r="I1" s="10"/>
      <c r="J1" s="14" t="s">
        <v>2</v>
      </c>
      <c r="K1" s="11"/>
    </row>
    <row r="2" spans="1:16" ht="17.25" customHeight="1" thickBot="1" x14ac:dyDescent="0.35">
      <c r="A2" s="13" t="s">
        <v>5</v>
      </c>
      <c r="B2" s="1"/>
      <c r="F2" s="12" t="s">
        <v>0</v>
      </c>
      <c r="G2" s="4" t="s">
        <v>1</v>
      </c>
      <c r="H2" s="76" t="s">
        <v>13</v>
      </c>
      <c r="I2" s="4" t="s">
        <v>9</v>
      </c>
      <c r="J2" s="4" t="s">
        <v>10</v>
      </c>
      <c r="K2" s="4" t="s">
        <v>11</v>
      </c>
      <c r="L2" s="4" t="s">
        <v>4</v>
      </c>
      <c r="M2" s="4" t="s">
        <v>3</v>
      </c>
      <c r="N2" s="73" t="s">
        <v>14</v>
      </c>
      <c r="O2" s="114" t="s">
        <v>142</v>
      </c>
      <c r="P2" s="74" t="s">
        <v>82</v>
      </c>
    </row>
    <row r="3" spans="1:16" ht="15.75" customHeight="1" x14ac:dyDescent="0.25">
      <c r="A3" s="2" t="s">
        <v>6</v>
      </c>
      <c r="B3" s="19">
        <f>'Input Data'!B3</f>
        <v>5000</v>
      </c>
      <c r="F3" s="7">
        <v>1</v>
      </c>
      <c r="G3" s="37" t="s">
        <v>31</v>
      </c>
      <c r="H3" s="8" t="s">
        <v>8</v>
      </c>
      <c r="I3" s="8">
        <v>1.5</v>
      </c>
      <c r="J3" s="8">
        <v>97</v>
      </c>
      <c r="K3" s="8">
        <f>B52</f>
        <v>1800</v>
      </c>
      <c r="L3" s="15" t="str">
        <f>B5</f>
        <v>H.D.G</v>
      </c>
      <c r="M3" s="8">
        <f>IF(B48="no",M23*3/2,M23*3)</f>
        <v>6</v>
      </c>
      <c r="N3" s="71">
        <f>I3*J3*K3*7.85/1000000*M3</f>
        <v>12.33549</v>
      </c>
      <c r="O3" s="112">
        <f>(N3*P3+N3)*1.03</f>
        <v>13.098510000000001</v>
      </c>
      <c r="P3" s="70">
        <v>3.0927835051546393E-2</v>
      </c>
    </row>
    <row r="4" spans="1:16" ht="18.75" x14ac:dyDescent="0.25">
      <c r="A4" s="3" t="s">
        <v>7</v>
      </c>
      <c r="B4" s="20">
        <f>'Input Data'!C3</f>
        <v>5000</v>
      </c>
      <c r="F4" s="7">
        <v>2</v>
      </c>
      <c r="G4" s="37" t="s">
        <v>32</v>
      </c>
      <c r="H4" s="8" t="s">
        <v>8</v>
      </c>
      <c r="I4" s="8">
        <v>1.5</v>
      </c>
      <c r="J4" s="8">
        <v>97</v>
      </c>
      <c r="K4" s="8">
        <f>B51</f>
        <v>1520</v>
      </c>
      <c r="L4" s="15" t="str">
        <f>B5</f>
        <v>H.D.G</v>
      </c>
      <c r="M4" s="8">
        <f>IF(B48="no",M24*3/2,M24*3)</f>
        <v>12</v>
      </c>
      <c r="N4" s="71">
        <f>I4*J4*K4*7.85/1000000*M4</f>
        <v>20.833272000000001</v>
      </c>
      <c r="O4" s="112">
        <f>(N4*P4+N4)*1.03</f>
        <v>22.121928000000004</v>
      </c>
      <c r="P4" s="70">
        <v>3.0927835051546393E-2</v>
      </c>
    </row>
    <row r="5" spans="1:16" ht="18.75" x14ac:dyDescent="0.25">
      <c r="A5" s="3" t="s">
        <v>4</v>
      </c>
      <c r="B5" s="20" t="s">
        <v>43</v>
      </c>
      <c r="D5" s="22"/>
      <c r="E5" s="22"/>
      <c r="F5" s="7">
        <v>3</v>
      </c>
      <c r="G5" s="37" t="s">
        <v>18</v>
      </c>
      <c r="H5" s="8" t="s">
        <v>8</v>
      </c>
      <c r="I5" s="8">
        <v>1.5</v>
      </c>
      <c r="J5" s="8">
        <v>250</v>
      </c>
      <c r="K5" s="8">
        <v>275</v>
      </c>
      <c r="L5" s="15" t="str">
        <f>B5</f>
        <v>H.D.G</v>
      </c>
      <c r="M5" s="8">
        <f>(B50*2+1)*B6</f>
        <v>7</v>
      </c>
      <c r="N5" s="71">
        <f>I5*J5*K5*7.85/1000000*M5</f>
        <v>5.6667187500000002</v>
      </c>
      <c r="O5" s="112">
        <f>(N5*P5+N5)*1.03</f>
        <v>5.8367203125000007</v>
      </c>
      <c r="P5" s="70">
        <v>0</v>
      </c>
    </row>
    <row r="6" spans="1:16" ht="19.5" thickBot="1" x14ac:dyDescent="0.3">
      <c r="A6" s="18" t="s">
        <v>12</v>
      </c>
      <c r="B6" s="21">
        <f>'Input Data'!D3</f>
        <v>1</v>
      </c>
      <c r="D6" s="22"/>
      <c r="E6" s="22"/>
      <c r="F6" s="7">
        <v>4</v>
      </c>
      <c r="G6" s="37" t="s">
        <v>144</v>
      </c>
      <c r="H6" s="8" t="s">
        <v>146</v>
      </c>
      <c r="I6" s="8" t="s">
        <v>116</v>
      </c>
      <c r="J6" s="8">
        <v>8</v>
      </c>
      <c r="K6" s="8">
        <v>20</v>
      </c>
      <c r="L6" s="15" t="str">
        <f>B5</f>
        <v>H.D.G</v>
      </c>
      <c r="M6" s="8">
        <f>M5*4</f>
        <v>28</v>
      </c>
      <c r="N6" s="71">
        <f>M6</f>
        <v>28</v>
      </c>
      <c r="O6" s="112">
        <f>M6</f>
        <v>28</v>
      </c>
      <c r="P6" s="70">
        <v>0</v>
      </c>
    </row>
    <row r="7" spans="1:16" ht="18.75" x14ac:dyDescent="0.25">
      <c r="D7" s="22"/>
      <c r="E7" s="22"/>
      <c r="F7" s="7">
        <v>5</v>
      </c>
      <c r="G7" s="37" t="s">
        <v>145</v>
      </c>
      <c r="H7" s="8" t="s">
        <v>147</v>
      </c>
      <c r="I7" s="8" t="s">
        <v>116</v>
      </c>
      <c r="J7" s="8">
        <v>8</v>
      </c>
      <c r="K7" s="8" t="s">
        <v>37</v>
      </c>
      <c r="L7" s="15" t="str">
        <f>B5</f>
        <v>H.D.G</v>
      </c>
      <c r="M7" s="8">
        <f>M6</f>
        <v>28</v>
      </c>
      <c r="N7" s="71">
        <f>M7</f>
        <v>28</v>
      </c>
      <c r="O7" s="112">
        <f>M7</f>
        <v>28</v>
      </c>
      <c r="P7" s="70">
        <v>0</v>
      </c>
    </row>
    <row r="8" spans="1:16" ht="18.75" x14ac:dyDescent="0.25">
      <c r="D8" s="22"/>
      <c r="E8" s="22"/>
      <c r="F8" s="97"/>
      <c r="G8" s="98"/>
      <c r="H8" s="99"/>
      <c r="I8" s="99"/>
      <c r="J8" s="99"/>
      <c r="K8" s="99"/>
      <c r="L8" s="100"/>
      <c r="M8" s="99"/>
      <c r="N8" s="101"/>
      <c r="O8" s="115"/>
      <c r="P8" s="103"/>
    </row>
    <row r="9" spans="1:16" ht="18.75" x14ac:dyDescent="0.25">
      <c r="F9" s="7">
        <v>6</v>
      </c>
      <c r="G9" s="37" t="s">
        <v>16</v>
      </c>
      <c r="H9" s="8" t="s">
        <v>8</v>
      </c>
      <c r="I9" s="8">
        <v>1.5</v>
      </c>
      <c r="J9" s="8">
        <v>97</v>
      </c>
      <c r="K9" s="8">
        <f>K26+74</f>
        <v>2547</v>
      </c>
      <c r="L9" s="15" t="str">
        <f>B5</f>
        <v>H.D.G</v>
      </c>
      <c r="M9" s="8">
        <f>IF(B48="no",4,8)*B6</f>
        <v>8</v>
      </c>
      <c r="N9" s="71">
        <f>I9*J9*K9*7.85/1000000*M9</f>
        <v>23.2729578</v>
      </c>
      <c r="O9" s="112">
        <f>(N9*P9+N9)*1.03</f>
        <v>24.712522200000002</v>
      </c>
      <c r="P9" s="70">
        <v>3.0927835051546393E-2</v>
      </c>
    </row>
    <row r="10" spans="1:16" ht="18.75" x14ac:dyDescent="0.25">
      <c r="C10" s="22"/>
      <c r="D10" s="22"/>
      <c r="E10" s="22"/>
      <c r="F10" s="7">
        <v>7</v>
      </c>
      <c r="G10" s="37" t="s">
        <v>17</v>
      </c>
      <c r="H10" s="8" t="s">
        <v>8</v>
      </c>
      <c r="I10" s="8">
        <v>1.5</v>
      </c>
      <c r="J10" s="8">
        <v>77</v>
      </c>
      <c r="K10" s="8">
        <v>270</v>
      </c>
      <c r="L10" s="15" t="str">
        <f>B5</f>
        <v>H.D.G</v>
      </c>
      <c r="M10" s="33">
        <f>ROUNDDOWN(K9/400,0)*IF(B48="NO",2,4)*B6</f>
        <v>24</v>
      </c>
      <c r="N10" s="71">
        <f>I10*J10*K10*7.85/1000000*M10</f>
        <v>5.875254</v>
      </c>
      <c r="O10" s="112">
        <f>(N10*P10+N10)*1.03</f>
        <v>6.5492550000000005</v>
      </c>
      <c r="P10" s="70">
        <v>8.2251082251082255E-2</v>
      </c>
    </row>
    <row r="11" spans="1:16" ht="18.75" x14ac:dyDescent="0.25">
      <c r="C11" s="22"/>
      <c r="D11" s="22"/>
      <c r="E11" s="22"/>
      <c r="F11" s="97"/>
      <c r="G11" s="98"/>
      <c r="H11" s="99"/>
      <c r="I11" s="99"/>
      <c r="J11" s="99"/>
      <c r="K11" s="99"/>
      <c r="L11" s="100"/>
      <c r="M11" s="99"/>
      <c r="N11" s="101"/>
      <c r="O11" s="115"/>
      <c r="P11" s="103"/>
    </row>
    <row r="12" spans="1:16" ht="18.75" x14ac:dyDescent="0.25">
      <c r="F12" s="7">
        <v>8</v>
      </c>
      <c r="G12" s="37" t="s">
        <v>33</v>
      </c>
      <c r="H12" s="8" t="s">
        <v>8</v>
      </c>
      <c r="I12" s="8">
        <v>1.5</v>
      </c>
      <c r="J12" s="8">
        <v>995</v>
      </c>
      <c r="K12" s="8">
        <f>K23</f>
        <v>1800</v>
      </c>
      <c r="L12" s="15" t="str">
        <f>B5</f>
        <v>H.D.G</v>
      </c>
      <c r="M12" s="8">
        <f>IF(B48="no",0,M23/2)</f>
        <v>1</v>
      </c>
      <c r="N12" s="72">
        <f>I12*J12*K12*7.85/1000000*M12</f>
        <v>21.089024999999999</v>
      </c>
      <c r="O12" s="112">
        <f>(N12*P12+N12)*1.03</f>
        <v>21.830850000000002</v>
      </c>
      <c r="P12" s="70">
        <v>5.0251256281407036E-3</v>
      </c>
    </row>
    <row r="13" spans="1:16" ht="18.75" x14ac:dyDescent="0.25">
      <c r="E13" s="23"/>
      <c r="F13" s="7">
        <v>9</v>
      </c>
      <c r="G13" s="37" t="s">
        <v>34</v>
      </c>
      <c r="H13" s="8" t="s">
        <v>8</v>
      </c>
      <c r="I13" s="8">
        <v>1.5</v>
      </c>
      <c r="J13" s="8">
        <v>995</v>
      </c>
      <c r="K13" s="8">
        <f>K24</f>
        <v>1520</v>
      </c>
      <c r="L13" s="15" t="str">
        <f>B5</f>
        <v>H.D.G</v>
      </c>
      <c r="M13" s="8">
        <f>IF(B48="no",0,M24/2)</f>
        <v>2</v>
      </c>
      <c r="N13" s="72">
        <f>I13*J13*K13*7.85/1000000*M13</f>
        <v>35.617019999999997</v>
      </c>
      <c r="O13" s="112">
        <f>(N13*P13+N13)*1.03</f>
        <v>36.869880000000002</v>
      </c>
      <c r="P13" s="70">
        <v>5.0251256281407036E-3</v>
      </c>
    </row>
    <row r="14" spans="1:16" ht="18.75" x14ac:dyDescent="0.25">
      <c r="A14" s="23"/>
      <c r="E14" s="23"/>
      <c r="F14" s="7">
        <v>10</v>
      </c>
      <c r="G14" s="37" t="s">
        <v>35</v>
      </c>
      <c r="H14" s="8" t="s">
        <v>8</v>
      </c>
      <c r="I14" s="8">
        <v>1.5</v>
      </c>
      <c r="J14" s="8">
        <v>988</v>
      </c>
      <c r="K14" s="8">
        <v>160</v>
      </c>
      <c r="L14" s="15" t="str">
        <f>B5</f>
        <v>H.D.G</v>
      </c>
      <c r="M14" s="8">
        <f>IF(B48="no",0,(B50-1)*B6)</f>
        <v>2</v>
      </c>
      <c r="N14" s="71">
        <f>I14*J14*K14*7.85/1000000*M14</f>
        <v>3.7227839999999999</v>
      </c>
      <c r="O14" s="116">
        <f>(N14*P14+N14)*1.03</f>
        <v>3.88104</v>
      </c>
      <c r="P14" s="70">
        <v>1.2145748987854251E-2</v>
      </c>
    </row>
    <row r="15" spans="1:16" ht="18.75" x14ac:dyDescent="0.25">
      <c r="C15" s="22"/>
      <c r="D15" s="22"/>
      <c r="E15" s="22"/>
      <c r="F15" s="7">
        <v>11</v>
      </c>
      <c r="G15" s="37" t="s">
        <v>148</v>
      </c>
      <c r="H15" s="8" t="s">
        <v>146</v>
      </c>
      <c r="I15" s="8" t="s">
        <v>116</v>
      </c>
      <c r="J15" s="8">
        <v>6</v>
      </c>
      <c r="K15" s="8">
        <v>10</v>
      </c>
      <c r="L15" s="15" t="str">
        <f>B5</f>
        <v>H.D.G</v>
      </c>
      <c r="M15" s="8">
        <f>M14*32</f>
        <v>64</v>
      </c>
      <c r="N15" s="71">
        <f>M15</f>
        <v>64</v>
      </c>
      <c r="O15" s="112">
        <f>M15</f>
        <v>64</v>
      </c>
      <c r="P15" s="70">
        <v>0</v>
      </c>
    </row>
    <row r="16" spans="1:16" ht="18.75" x14ac:dyDescent="0.25">
      <c r="C16" s="22"/>
      <c r="D16" s="22"/>
      <c r="E16" s="22"/>
      <c r="F16" s="7">
        <v>12</v>
      </c>
      <c r="G16" s="37" t="s">
        <v>149</v>
      </c>
      <c r="H16" s="8" t="s">
        <v>147</v>
      </c>
      <c r="I16" s="8" t="s">
        <v>116</v>
      </c>
      <c r="J16" s="8">
        <v>6</v>
      </c>
      <c r="K16" s="8" t="s">
        <v>37</v>
      </c>
      <c r="L16" s="15" t="str">
        <f>B5</f>
        <v>H.D.G</v>
      </c>
      <c r="M16" s="8">
        <f>M15</f>
        <v>64</v>
      </c>
      <c r="N16" s="71">
        <f>M16</f>
        <v>64</v>
      </c>
      <c r="O16" s="112">
        <f>M16</f>
        <v>64</v>
      </c>
      <c r="P16" s="70">
        <v>0</v>
      </c>
    </row>
    <row r="17" spans="1:16" ht="18.75" x14ac:dyDescent="0.25">
      <c r="A17" s="23"/>
      <c r="E17" s="23"/>
      <c r="F17" s="7">
        <v>13</v>
      </c>
      <c r="G17" s="37" t="s">
        <v>164</v>
      </c>
      <c r="H17" s="8" t="s">
        <v>162</v>
      </c>
      <c r="I17" s="8">
        <v>3</v>
      </c>
      <c r="J17" s="8" t="s">
        <v>166</v>
      </c>
      <c r="K17" s="8" t="s">
        <v>37</v>
      </c>
      <c r="L17" s="15" t="s">
        <v>167</v>
      </c>
      <c r="M17" s="8">
        <f>(ROUNDDOWN((M12+M13)/B6/2,0)+1)*B6</f>
        <v>2</v>
      </c>
      <c r="N17" s="71">
        <f>IF(B48="yes",1,0)*M17</f>
        <v>2</v>
      </c>
      <c r="O17" s="112">
        <f>0.64*N17</f>
        <v>1.28</v>
      </c>
      <c r="P17" s="70">
        <v>0</v>
      </c>
    </row>
    <row r="18" spans="1:16" ht="18.75" x14ac:dyDescent="0.25">
      <c r="A18" s="23"/>
      <c r="E18" s="23"/>
      <c r="F18" s="7">
        <v>14</v>
      </c>
      <c r="G18" s="37" t="s">
        <v>165</v>
      </c>
      <c r="H18" s="8" t="s">
        <v>8</v>
      </c>
      <c r="I18" s="8">
        <v>5</v>
      </c>
      <c r="J18" s="8" t="s">
        <v>37</v>
      </c>
      <c r="K18" s="8" t="s">
        <v>37</v>
      </c>
      <c r="L18" s="15" t="s">
        <v>84</v>
      </c>
      <c r="M18" s="8">
        <f>M17</f>
        <v>2</v>
      </c>
      <c r="N18" s="71">
        <f>IF(B48="yes",1,0)*M18</f>
        <v>2</v>
      </c>
      <c r="O18" s="112">
        <f>0.66*N18</f>
        <v>1.32</v>
      </c>
      <c r="P18" s="70">
        <v>0</v>
      </c>
    </row>
    <row r="19" spans="1:16" ht="18.75" x14ac:dyDescent="0.25">
      <c r="A19" s="23"/>
      <c r="E19" s="23"/>
      <c r="F19" s="7">
        <v>15</v>
      </c>
      <c r="G19" s="37" t="s">
        <v>161</v>
      </c>
      <c r="H19" s="8" t="s">
        <v>162</v>
      </c>
      <c r="I19" s="96">
        <v>1.25</v>
      </c>
      <c r="J19" s="8" t="s">
        <v>166</v>
      </c>
      <c r="K19" s="8" t="s">
        <v>37</v>
      </c>
      <c r="L19" s="15" t="s">
        <v>163</v>
      </c>
      <c r="M19" s="8">
        <f>(ROUNDDOWN((M12+M13)/B6/2,0)+1)*B6</f>
        <v>2</v>
      </c>
      <c r="N19" s="71">
        <f>IF(B48="yes",1,0)*M19</f>
        <v>2</v>
      </c>
      <c r="O19" s="112">
        <f>0.28*N19</f>
        <v>0.56000000000000005</v>
      </c>
      <c r="P19" s="70">
        <v>0</v>
      </c>
    </row>
    <row r="20" spans="1:16" ht="18.75" x14ac:dyDescent="0.25">
      <c r="A20" s="23"/>
      <c r="E20" s="23"/>
      <c r="F20" s="7">
        <v>16</v>
      </c>
      <c r="G20" s="36" t="s">
        <v>168</v>
      </c>
      <c r="H20" s="8" t="s">
        <v>162</v>
      </c>
      <c r="I20" s="8">
        <v>90</v>
      </c>
      <c r="J20" s="31"/>
      <c r="K20" s="31"/>
      <c r="L20" s="32" t="s">
        <v>170</v>
      </c>
      <c r="M20" s="31">
        <f>M17</f>
        <v>2</v>
      </c>
      <c r="N20" s="75">
        <f>IF(B48="yes",1,0)*M20</f>
        <v>2</v>
      </c>
      <c r="O20" s="112">
        <f>N20*B4/2/1000</f>
        <v>5</v>
      </c>
      <c r="P20" s="70">
        <v>0</v>
      </c>
    </row>
    <row r="21" spans="1:16" ht="18.75" x14ac:dyDescent="0.25">
      <c r="A21" s="23"/>
      <c r="E21" s="23"/>
      <c r="F21" s="7">
        <v>17</v>
      </c>
      <c r="G21" s="36" t="s">
        <v>169</v>
      </c>
      <c r="H21" s="8" t="s">
        <v>162</v>
      </c>
      <c r="I21" s="8">
        <v>40</v>
      </c>
      <c r="J21" s="31"/>
      <c r="K21" s="31"/>
      <c r="L21" s="32" t="s">
        <v>170</v>
      </c>
      <c r="M21" s="31">
        <f>M19</f>
        <v>2</v>
      </c>
      <c r="N21" s="75">
        <f>IF(B48="yes",1,0)*M21</f>
        <v>2</v>
      </c>
      <c r="O21" s="112">
        <f>N21*B4/2/1000</f>
        <v>5</v>
      </c>
      <c r="P21" s="70">
        <v>0</v>
      </c>
    </row>
    <row r="22" spans="1:16" ht="18.75" x14ac:dyDescent="0.25">
      <c r="A22" s="23"/>
      <c r="E22" s="23"/>
      <c r="F22" s="97"/>
      <c r="G22" s="104"/>
      <c r="H22" s="105"/>
      <c r="I22" s="106"/>
      <c r="J22" s="105"/>
      <c r="K22" s="105"/>
      <c r="L22" s="107"/>
      <c r="M22" s="105"/>
      <c r="N22" s="102"/>
      <c r="O22" s="115"/>
      <c r="P22" s="108"/>
    </row>
    <row r="23" spans="1:16" ht="17.25" customHeight="1" x14ac:dyDescent="0.25">
      <c r="F23" s="7">
        <v>18</v>
      </c>
      <c r="G23" s="36" t="s">
        <v>29</v>
      </c>
      <c r="H23" s="31" t="s">
        <v>8</v>
      </c>
      <c r="I23" s="31">
        <v>1.5</v>
      </c>
      <c r="J23" s="31">
        <v>137</v>
      </c>
      <c r="K23" s="31">
        <f>B52</f>
        <v>1800</v>
      </c>
      <c r="L23" s="32" t="str">
        <f>B5</f>
        <v>H.D.G</v>
      </c>
      <c r="M23" s="31">
        <f>2*B6</f>
        <v>2</v>
      </c>
      <c r="N23" s="78">
        <f>I23*J23*K23*7.85/1000000*M23</f>
        <v>5.8074300000000001</v>
      </c>
      <c r="O23" s="117">
        <f t="shared" ref="O23:O38" si="0">(N23*P23+N23)*1.03</f>
        <v>6.2373857142857148</v>
      </c>
      <c r="P23" s="85">
        <v>4.2752867570385822E-2</v>
      </c>
    </row>
    <row r="24" spans="1:16" ht="15" customHeight="1" x14ac:dyDescent="0.25">
      <c r="F24" s="7">
        <v>19</v>
      </c>
      <c r="G24" s="36" t="s">
        <v>30</v>
      </c>
      <c r="H24" s="31" t="s">
        <v>8</v>
      </c>
      <c r="I24" s="31">
        <v>1.5</v>
      </c>
      <c r="J24" s="31">
        <v>137</v>
      </c>
      <c r="K24" s="31">
        <f>B51</f>
        <v>1520</v>
      </c>
      <c r="L24" s="32" t="str">
        <f>B5</f>
        <v>H.D.G</v>
      </c>
      <c r="M24" s="31">
        <f>2*(B50-1)*B6</f>
        <v>4</v>
      </c>
      <c r="N24" s="71">
        <f t="shared" ref="N24:N29" si="1">I24*J24*K24*7.85/1000000*M24</f>
        <v>9.8081040000000002</v>
      </c>
      <c r="O24" s="112">
        <f t="shared" si="0"/>
        <v>10.534251428571428</v>
      </c>
      <c r="P24" s="70">
        <v>4.2752867570385822E-2</v>
      </c>
    </row>
    <row r="25" spans="1:16" ht="18.75" x14ac:dyDescent="0.25">
      <c r="F25" s="7">
        <v>20</v>
      </c>
      <c r="G25" s="37" t="s">
        <v>15</v>
      </c>
      <c r="H25" s="8" t="s">
        <v>8</v>
      </c>
      <c r="I25" s="8">
        <v>1.5</v>
      </c>
      <c r="J25" s="8">
        <v>97</v>
      </c>
      <c r="K25" s="8">
        <f>K26</f>
        <v>2473</v>
      </c>
      <c r="L25" s="15" t="str">
        <f>B5</f>
        <v>H.D.G</v>
      </c>
      <c r="M25" s="8">
        <f>IF(B48="no",4,8)*B6</f>
        <v>8</v>
      </c>
      <c r="N25" s="71">
        <f t="shared" si="1"/>
        <v>22.596790200000001</v>
      </c>
      <c r="O25" s="112">
        <f t="shared" si="0"/>
        <v>23.994529800000002</v>
      </c>
      <c r="P25" s="70">
        <v>3.0927835051546393E-2</v>
      </c>
    </row>
    <row r="26" spans="1:16" ht="15.75" customHeight="1" x14ac:dyDescent="0.25">
      <c r="C26" s="26"/>
      <c r="D26" s="26"/>
      <c r="E26" s="26"/>
      <c r="F26" s="7">
        <v>21</v>
      </c>
      <c r="G26" s="37" t="s">
        <v>45</v>
      </c>
      <c r="H26" s="8" t="s">
        <v>8</v>
      </c>
      <c r="I26" s="8">
        <v>1.5</v>
      </c>
      <c r="J26" s="8">
        <v>240</v>
      </c>
      <c r="K26" s="8">
        <f>IF(B48="no",B49,B49/2)</f>
        <v>2473</v>
      </c>
      <c r="L26" s="15" t="str">
        <f>B5</f>
        <v>H.D.G</v>
      </c>
      <c r="M26" s="8">
        <f>IF(B48="no",(B50-1)*2,(B50-1)*4)*B6</f>
        <v>8</v>
      </c>
      <c r="N26" s="71">
        <f t="shared" si="1"/>
        <v>55.909584000000002</v>
      </c>
      <c r="O26" s="112">
        <f t="shared" si="0"/>
        <v>59.986324500000002</v>
      </c>
      <c r="P26" s="70">
        <v>4.1666666666666664E-2</v>
      </c>
    </row>
    <row r="27" spans="1:16" ht="18.75" x14ac:dyDescent="0.25">
      <c r="E27" s="23"/>
      <c r="F27" s="7">
        <v>22</v>
      </c>
      <c r="G27" s="37" t="s">
        <v>48</v>
      </c>
      <c r="H27" s="8" t="s">
        <v>8</v>
      </c>
      <c r="I27" s="8">
        <v>2.5</v>
      </c>
      <c r="J27" s="8">
        <v>75</v>
      </c>
      <c r="K27" s="8">
        <v>60</v>
      </c>
      <c r="L27" s="15" t="str">
        <f>B5</f>
        <v>H.D.G</v>
      </c>
      <c r="M27" s="8">
        <f>M26/2</f>
        <v>4</v>
      </c>
      <c r="N27" s="71">
        <f>I27*J27*K27*7.85/1000000*M27</f>
        <v>0.35325000000000001</v>
      </c>
      <c r="O27" s="112">
        <f>(N27*P27+N27)*1.03</f>
        <v>0.36384749999999999</v>
      </c>
      <c r="P27" s="70">
        <v>0</v>
      </c>
    </row>
    <row r="28" spans="1:16" ht="18.75" x14ac:dyDescent="0.25">
      <c r="E28" s="23"/>
      <c r="F28" s="7">
        <v>23</v>
      </c>
      <c r="G28" s="37" t="s">
        <v>47</v>
      </c>
      <c r="H28" s="8" t="s">
        <v>8</v>
      </c>
      <c r="I28" s="8">
        <v>2.5</v>
      </c>
      <c r="J28" s="8">
        <v>75</v>
      </c>
      <c r="K28" s="8">
        <v>80</v>
      </c>
      <c r="L28" s="15" t="str">
        <f>B5</f>
        <v>H.D.G</v>
      </c>
      <c r="M28" s="8">
        <f>M26</f>
        <v>8</v>
      </c>
      <c r="N28" s="71">
        <f>I28*J28*K28*7.85/1000000*M28</f>
        <v>0.94199999999999995</v>
      </c>
      <c r="O28" s="112">
        <f>(N28*P28+N28)*1.03</f>
        <v>0.97026000000000001</v>
      </c>
      <c r="P28" s="70">
        <v>0</v>
      </c>
    </row>
    <row r="29" spans="1:16" ht="18.75" x14ac:dyDescent="0.25">
      <c r="A29" s="23"/>
      <c r="E29" s="23"/>
      <c r="F29" s="7">
        <v>24</v>
      </c>
      <c r="G29" s="37" t="s">
        <v>46</v>
      </c>
      <c r="H29" s="8" t="s">
        <v>8</v>
      </c>
      <c r="I29" s="8">
        <v>2</v>
      </c>
      <c r="J29" s="8">
        <v>80</v>
      </c>
      <c r="K29" s="8">
        <v>295</v>
      </c>
      <c r="L29" s="15" t="str">
        <f>B5</f>
        <v>H.D.G</v>
      </c>
      <c r="M29" s="8">
        <f>(B50-1)*B6</f>
        <v>2</v>
      </c>
      <c r="N29" s="71">
        <f t="shared" si="1"/>
        <v>0.74104000000000003</v>
      </c>
      <c r="O29" s="112">
        <f t="shared" si="0"/>
        <v>0.79507416666666675</v>
      </c>
      <c r="P29" s="70">
        <v>4.1666666666666664E-2</v>
      </c>
    </row>
    <row r="30" spans="1:16" ht="18.75" x14ac:dyDescent="0.25">
      <c r="C30" s="22"/>
      <c r="D30" s="22"/>
      <c r="E30" s="22"/>
      <c r="F30" s="7">
        <v>25</v>
      </c>
      <c r="G30" s="37" t="s">
        <v>144</v>
      </c>
      <c r="H30" s="8" t="s">
        <v>146</v>
      </c>
      <c r="I30" s="8" t="s">
        <v>116</v>
      </c>
      <c r="J30" s="8">
        <v>8</v>
      </c>
      <c r="K30" s="8">
        <v>20</v>
      </c>
      <c r="L30" s="15" t="str">
        <f>B5</f>
        <v>H.D.G</v>
      </c>
      <c r="M30" s="8">
        <f>(B50-1)*B6*16+(M23+M24+M25)*2+IF(B48="NO",0,4*B6+2*M26)+B6*10</f>
        <v>90</v>
      </c>
      <c r="N30" s="71">
        <f t="shared" ref="N30:N36" si="2">M30</f>
        <v>90</v>
      </c>
      <c r="O30" s="112">
        <f t="shared" ref="O30:O36" si="3">M30</f>
        <v>90</v>
      </c>
      <c r="P30" s="70">
        <v>0</v>
      </c>
    </row>
    <row r="31" spans="1:16" ht="18.75" x14ac:dyDescent="0.25">
      <c r="C31" s="22"/>
      <c r="D31" s="22"/>
      <c r="E31" s="22"/>
      <c r="F31" s="7">
        <v>26</v>
      </c>
      <c r="G31" s="37" t="s">
        <v>145</v>
      </c>
      <c r="H31" s="8" t="s">
        <v>147</v>
      </c>
      <c r="I31" s="8" t="s">
        <v>116</v>
      </c>
      <c r="J31" s="8">
        <v>8</v>
      </c>
      <c r="K31" s="8" t="s">
        <v>37</v>
      </c>
      <c r="L31" s="15" t="str">
        <f>B5</f>
        <v>H.D.G</v>
      </c>
      <c r="M31" s="8">
        <f>(M30-B6*10)*1.5</f>
        <v>120</v>
      </c>
      <c r="N31" s="71">
        <f t="shared" si="2"/>
        <v>120</v>
      </c>
      <c r="O31" s="112">
        <f t="shared" si="3"/>
        <v>120</v>
      </c>
      <c r="P31" s="70">
        <v>0</v>
      </c>
    </row>
    <row r="32" spans="1:16" ht="18.75" x14ac:dyDescent="0.25">
      <c r="C32" s="22"/>
      <c r="D32" s="22"/>
      <c r="E32" s="22"/>
      <c r="F32" s="7">
        <v>27</v>
      </c>
      <c r="G32" s="37" t="s">
        <v>160</v>
      </c>
      <c r="H32" s="8" t="s">
        <v>146</v>
      </c>
      <c r="I32" s="8" t="s">
        <v>116</v>
      </c>
      <c r="J32" s="8">
        <v>6</v>
      </c>
      <c r="K32" s="8">
        <v>15</v>
      </c>
      <c r="L32" s="15" t="str">
        <f>B5</f>
        <v>H.D.G</v>
      </c>
      <c r="M32" s="8">
        <f>(ROUNDDOWN((M12+M13)/B6/2,0)+1)*6*B6</f>
        <v>12</v>
      </c>
      <c r="N32" s="71">
        <f t="shared" si="2"/>
        <v>12</v>
      </c>
      <c r="O32" s="112">
        <f t="shared" si="3"/>
        <v>12</v>
      </c>
      <c r="P32" s="70">
        <v>0</v>
      </c>
    </row>
    <row r="33" spans="1:16" ht="18.75" x14ac:dyDescent="0.25">
      <c r="C33" s="22"/>
      <c r="D33" s="22"/>
      <c r="E33" s="22"/>
      <c r="F33" s="7">
        <v>28</v>
      </c>
      <c r="G33" s="37" t="s">
        <v>148</v>
      </c>
      <c r="H33" s="8" t="s">
        <v>146</v>
      </c>
      <c r="I33" s="8" t="s">
        <v>116</v>
      </c>
      <c r="J33" s="8">
        <v>6</v>
      </c>
      <c r="K33" s="8">
        <v>10</v>
      </c>
      <c r="L33" s="15" t="str">
        <f>B5</f>
        <v>H.D.G</v>
      </c>
      <c r="M33" s="8">
        <f>M14*32</f>
        <v>64</v>
      </c>
      <c r="N33" s="71">
        <f t="shared" si="2"/>
        <v>64</v>
      </c>
      <c r="O33" s="112">
        <f t="shared" si="3"/>
        <v>64</v>
      </c>
      <c r="P33" s="70">
        <v>0</v>
      </c>
    </row>
    <row r="34" spans="1:16" ht="18.75" x14ac:dyDescent="0.25">
      <c r="C34" s="22"/>
      <c r="D34" s="22"/>
      <c r="E34" s="22"/>
      <c r="F34" s="7">
        <v>29</v>
      </c>
      <c r="G34" s="37" t="s">
        <v>149</v>
      </c>
      <c r="H34" s="8" t="s">
        <v>147</v>
      </c>
      <c r="I34" s="8" t="s">
        <v>116</v>
      </c>
      <c r="J34" s="8">
        <v>5</v>
      </c>
      <c r="K34" s="8" t="s">
        <v>37</v>
      </c>
      <c r="L34" s="15" t="str">
        <f>B5</f>
        <v>H.D.G</v>
      </c>
      <c r="M34" s="8">
        <f>M32+M33</f>
        <v>76</v>
      </c>
      <c r="N34" s="71">
        <f t="shared" si="2"/>
        <v>76</v>
      </c>
      <c r="O34" s="112">
        <f t="shared" si="3"/>
        <v>76</v>
      </c>
      <c r="P34" s="70">
        <v>0</v>
      </c>
    </row>
    <row r="35" spans="1:16" ht="18.75" x14ac:dyDescent="0.25">
      <c r="C35" s="22"/>
      <c r="D35" s="22"/>
      <c r="E35" s="22"/>
      <c r="F35" s="7">
        <v>30</v>
      </c>
      <c r="G35" s="37" t="s">
        <v>150</v>
      </c>
      <c r="H35" s="8" t="s">
        <v>152</v>
      </c>
      <c r="I35" s="8" t="s">
        <v>37</v>
      </c>
      <c r="J35" s="8">
        <v>5</v>
      </c>
      <c r="K35" s="8">
        <v>50</v>
      </c>
      <c r="L35" s="15" t="str">
        <f>B5</f>
        <v>H.D.G</v>
      </c>
      <c r="M35" s="8">
        <f>M5+M9*2+M29*2</f>
        <v>27</v>
      </c>
      <c r="N35" s="71">
        <f t="shared" si="2"/>
        <v>27</v>
      </c>
      <c r="O35" s="112">
        <f t="shared" si="3"/>
        <v>27</v>
      </c>
      <c r="P35" s="70">
        <v>0</v>
      </c>
    </row>
    <row r="36" spans="1:16" ht="18.75" x14ac:dyDescent="0.25">
      <c r="C36" s="22"/>
      <c r="D36" s="22"/>
      <c r="E36" s="22"/>
      <c r="F36" s="7">
        <v>31</v>
      </c>
      <c r="G36" s="37" t="s">
        <v>151</v>
      </c>
      <c r="H36" s="8" t="s">
        <v>153</v>
      </c>
      <c r="I36" s="8" t="s">
        <v>37</v>
      </c>
      <c r="J36" s="8">
        <v>6</v>
      </c>
      <c r="K36" s="8">
        <v>40</v>
      </c>
      <c r="L36" s="15" t="s">
        <v>37</v>
      </c>
      <c r="M36" s="8">
        <f>M35</f>
        <v>27</v>
      </c>
      <c r="N36" s="71">
        <f t="shared" si="2"/>
        <v>27</v>
      </c>
      <c r="O36" s="112">
        <f t="shared" si="3"/>
        <v>27</v>
      </c>
      <c r="P36" s="70">
        <v>0</v>
      </c>
    </row>
    <row r="37" spans="1:16" ht="18.75" x14ac:dyDescent="0.25">
      <c r="C37" s="22"/>
      <c r="D37" s="22"/>
      <c r="E37" s="22"/>
      <c r="F37" s="97"/>
      <c r="G37" s="98"/>
      <c r="H37" s="99"/>
      <c r="I37" s="99"/>
      <c r="J37" s="99"/>
      <c r="K37" s="99"/>
      <c r="L37" s="100"/>
      <c r="M37" s="99"/>
      <c r="N37" s="101"/>
      <c r="O37" s="115"/>
      <c r="P37" s="103"/>
    </row>
    <row r="38" spans="1:16" ht="18.75" x14ac:dyDescent="0.25">
      <c r="F38" s="7">
        <v>32</v>
      </c>
      <c r="G38" s="37" t="s">
        <v>19</v>
      </c>
      <c r="H38" s="8"/>
      <c r="I38" s="8" t="s">
        <v>37</v>
      </c>
      <c r="J38" s="8" t="s">
        <v>37</v>
      </c>
      <c r="K38" s="8">
        <f>K25-27</f>
        <v>2446</v>
      </c>
      <c r="L38" s="8" t="s">
        <v>36</v>
      </c>
      <c r="M38" s="8">
        <f>IF(B48="no",ROUNDUP((B3-(B50-1)*80)/304*14,0),ROUNDUP((B3-(B50-1)*80)/304*14,0)*2)*B6</f>
        <v>446</v>
      </c>
      <c r="N38" s="79">
        <f>K38*M38/2.3/1000</f>
        <v>474.31130434782614</v>
      </c>
      <c r="O38" s="112">
        <f t="shared" si="0"/>
        <v>493.42604991304358</v>
      </c>
      <c r="P38" s="70">
        <v>0.01</v>
      </c>
    </row>
    <row r="39" spans="1:16" ht="18.75" x14ac:dyDescent="0.25">
      <c r="F39" s="7">
        <v>33</v>
      </c>
      <c r="G39" s="37" t="s">
        <v>20</v>
      </c>
      <c r="H39" s="25"/>
      <c r="I39" s="25"/>
      <c r="J39" s="25"/>
      <c r="K39" s="25"/>
      <c r="L39" s="25" t="s">
        <v>41</v>
      </c>
      <c r="M39" s="25">
        <f>M41</f>
        <v>512</v>
      </c>
      <c r="N39" s="72">
        <f>M39</f>
        <v>512</v>
      </c>
      <c r="O39" s="118">
        <f>N39</f>
        <v>512</v>
      </c>
      <c r="P39" s="86">
        <v>0</v>
      </c>
    </row>
    <row r="40" spans="1:16" ht="18.75" x14ac:dyDescent="0.25">
      <c r="F40" s="7">
        <v>34</v>
      </c>
      <c r="G40" s="37" t="s">
        <v>21</v>
      </c>
      <c r="H40" s="25"/>
      <c r="I40" s="25"/>
      <c r="J40" s="25"/>
      <c r="K40" s="25"/>
      <c r="L40" s="25" t="s">
        <v>40</v>
      </c>
      <c r="M40" s="25">
        <f>M41</f>
        <v>512</v>
      </c>
      <c r="N40" s="72">
        <f>M40</f>
        <v>512</v>
      </c>
      <c r="O40" s="118">
        <f t="shared" ref="O40:O43" si="4">N40</f>
        <v>512</v>
      </c>
      <c r="P40" s="86">
        <v>0</v>
      </c>
    </row>
    <row r="41" spans="1:16" ht="18.75" x14ac:dyDescent="0.25">
      <c r="F41" s="7">
        <v>35</v>
      </c>
      <c r="G41" s="37" t="s">
        <v>42</v>
      </c>
      <c r="H41" s="8"/>
      <c r="I41" s="8" t="s">
        <v>37</v>
      </c>
      <c r="J41" s="8">
        <v>5</v>
      </c>
      <c r="K41" s="8">
        <v>304</v>
      </c>
      <c r="L41" s="16" t="s">
        <v>38</v>
      </c>
      <c r="M41" s="8">
        <f>ROUNDUP(M38/14/B6,0)*B53*B6</f>
        <v>512</v>
      </c>
      <c r="N41" s="72">
        <f>M41</f>
        <v>512</v>
      </c>
      <c r="O41" s="116">
        <f t="shared" si="4"/>
        <v>512</v>
      </c>
      <c r="P41" s="86">
        <v>0</v>
      </c>
    </row>
    <row r="42" spans="1:16" ht="18.75" x14ac:dyDescent="0.25">
      <c r="F42" s="7">
        <v>36</v>
      </c>
      <c r="G42" s="37" t="s">
        <v>22</v>
      </c>
      <c r="H42" s="25"/>
      <c r="I42" s="25"/>
      <c r="J42" s="25"/>
      <c r="K42" s="25"/>
      <c r="L42" s="25" t="s">
        <v>49</v>
      </c>
      <c r="M42" s="25">
        <f>ROUNDUP(M38/14/B6*B53*13,0)*B6</f>
        <v>6627</v>
      </c>
      <c r="N42" s="72">
        <f>M42</f>
        <v>6627</v>
      </c>
      <c r="O42" s="118">
        <f t="shared" si="4"/>
        <v>6627</v>
      </c>
      <c r="P42" s="86">
        <v>0</v>
      </c>
    </row>
    <row r="43" spans="1:16" ht="15.75" customHeight="1" thickBot="1" x14ac:dyDescent="0.3">
      <c r="F43" s="7">
        <v>37</v>
      </c>
      <c r="G43" s="38" t="s">
        <v>23</v>
      </c>
      <c r="H43" s="9"/>
      <c r="I43" s="9"/>
      <c r="J43" s="9"/>
      <c r="K43" s="9"/>
      <c r="L43" s="9" t="s">
        <v>49</v>
      </c>
      <c r="M43" s="9">
        <f>ROUNDUP(1.05*ROUNDUP(M38/14/B6,0)*B53,0)*B6</f>
        <v>538</v>
      </c>
      <c r="N43" s="88">
        <f>M43</f>
        <v>538</v>
      </c>
      <c r="O43" s="119">
        <f t="shared" si="4"/>
        <v>538</v>
      </c>
      <c r="P43" s="87">
        <v>0</v>
      </c>
    </row>
    <row r="44" spans="1:16" ht="15.75" customHeight="1" x14ac:dyDescent="0.25"/>
    <row r="45" spans="1:16" x14ac:dyDescent="0.25">
      <c r="A45" s="29" t="s">
        <v>43</v>
      </c>
    </row>
    <row r="48" spans="1:16" x14ac:dyDescent="0.25">
      <c r="A48" s="24" t="s">
        <v>24</v>
      </c>
      <c r="B48" s="24" t="str">
        <f>IF(B4&gt;3050,"yes","no")</f>
        <v>yes</v>
      </c>
    </row>
    <row r="49" spans="1:2" x14ac:dyDescent="0.25">
      <c r="A49" s="22" t="s">
        <v>25</v>
      </c>
      <c r="B49" s="22">
        <f>IF(B48="no",B4-52,B4-54)</f>
        <v>4946</v>
      </c>
    </row>
    <row r="50" spans="1:2" x14ac:dyDescent="0.25">
      <c r="A50" s="28" t="s">
        <v>26</v>
      </c>
      <c r="B50" s="22">
        <f>IF(B3&lt;=2736,1,0)+IF(AND(2736&lt;B3,B3&lt;=4500),2,0)+IF(B3&gt;4500,3,0)</f>
        <v>3</v>
      </c>
    </row>
    <row r="51" spans="1:2" x14ac:dyDescent="0.25">
      <c r="A51" s="26" t="s">
        <v>27</v>
      </c>
      <c r="B51" s="30">
        <f>ROUND(((B3-(80*(B50-1)))/304)/B50,0)*304</f>
        <v>1520</v>
      </c>
    </row>
    <row r="52" spans="1:2" x14ac:dyDescent="0.25">
      <c r="A52" s="23" t="s">
        <v>28</v>
      </c>
      <c r="B52" s="23">
        <f>B3-((B50-1)*80)-B51*(B50-1)</f>
        <v>1800</v>
      </c>
    </row>
    <row r="53" spans="1:2" x14ac:dyDescent="0.25">
      <c r="A53" s="34" t="s">
        <v>39</v>
      </c>
      <c r="B53" s="23">
        <f>(IF(K38/304-ROUNDDOWN(K38/304,0)&gt;=0.5,ROUNDDOWN(K38/304,0),ROUNDDOWN(K38/304,0)-1)+1)*2</f>
        <v>16</v>
      </c>
    </row>
  </sheetData>
  <dataValidations disablePrompts="1" count="1">
    <dataValidation type="list" allowBlank="1" showInputMessage="1" showErrorMessage="1" sqref="B5">
      <formula1>Material</formula1>
    </dataValidation>
  </dataValidations>
  <pageMargins left="0.26041666666666669" right="4.1666666666666664E-2" top="0.593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7" workbookViewId="0">
      <selection activeCell="O43" sqref="O43"/>
    </sheetView>
  </sheetViews>
  <sheetFormatPr defaultRowHeight="15" x14ac:dyDescent="0.25"/>
  <cols>
    <col min="1" max="1" width="13.7109375" style="23" bestFit="1" customWidth="1"/>
    <col min="2" max="3" width="9.140625" style="23"/>
    <col min="4" max="4" width="15.28515625" bestFit="1" customWidth="1"/>
    <col min="5" max="5" width="4.28515625" bestFit="1" customWidth="1"/>
    <col min="6" max="6" width="21.42578125" bestFit="1" customWidth="1"/>
    <col min="7" max="7" width="13.85546875" bestFit="1" customWidth="1"/>
    <col min="8" max="8" width="9.85546875" customWidth="1"/>
  </cols>
  <sheetData>
    <row r="1" spans="1:15" ht="15.75" thickBot="1" x14ac:dyDescent="0.3"/>
    <row r="2" spans="1:15" ht="15.75" thickBot="1" x14ac:dyDescent="0.3">
      <c r="A2" s="24" t="s">
        <v>73</v>
      </c>
      <c r="B2" s="24">
        <f>'Input Data'!B4</f>
        <v>2000</v>
      </c>
      <c r="I2" s="80"/>
      <c r="J2" s="81" t="s">
        <v>2</v>
      </c>
      <c r="K2" s="82"/>
    </row>
    <row r="3" spans="1:15" ht="16.5" thickBot="1" x14ac:dyDescent="0.3">
      <c r="A3" s="24" t="s">
        <v>74</v>
      </c>
      <c r="B3" s="24">
        <f>'Input Data'!C4</f>
        <v>2000</v>
      </c>
      <c r="E3" s="12" t="s">
        <v>0</v>
      </c>
      <c r="F3" s="4" t="s">
        <v>1</v>
      </c>
      <c r="G3" s="17" t="s">
        <v>13</v>
      </c>
      <c r="H3" s="4" t="s">
        <v>4</v>
      </c>
      <c r="I3" s="4" t="s">
        <v>9</v>
      </c>
      <c r="J3" s="4" t="s">
        <v>10</v>
      </c>
      <c r="K3" s="4" t="s">
        <v>11</v>
      </c>
      <c r="L3" s="4" t="s">
        <v>3</v>
      </c>
      <c r="M3" s="73" t="s">
        <v>14</v>
      </c>
      <c r="N3" s="73" t="s">
        <v>142</v>
      </c>
      <c r="O3" s="74" t="s">
        <v>82</v>
      </c>
    </row>
    <row r="4" spans="1:15" ht="18.75" x14ac:dyDescent="0.25">
      <c r="A4" s="24" t="s">
        <v>62</v>
      </c>
      <c r="B4" s="24">
        <f>'Input Data'!D4</f>
        <v>1</v>
      </c>
      <c r="E4" s="5">
        <v>1</v>
      </c>
      <c r="F4" s="35" t="s">
        <v>127</v>
      </c>
      <c r="G4" s="35" t="s">
        <v>56</v>
      </c>
      <c r="H4" s="27" t="s">
        <v>43</v>
      </c>
      <c r="I4" s="6">
        <v>1.5</v>
      </c>
      <c r="J4" s="6">
        <v>88</v>
      </c>
      <c r="K4" s="6">
        <f>B2</f>
        <v>2000</v>
      </c>
      <c r="L4" s="6">
        <f>(2+B21)*B4</f>
        <v>2</v>
      </c>
      <c r="M4" s="77">
        <f>I4*J4*K4*7.85/1000000*L4</f>
        <v>4.1448</v>
      </c>
      <c r="N4" s="84">
        <f>(M4*O4+M4)*1.03</f>
        <v>4.3972183200000003</v>
      </c>
      <c r="O4" s="69">
        <v>0.03</v>
      </c>
    </row>
    <row r="5" spans="1:15" ht="18.75" x14ac:dyDescent="0.25">
      <c r="A5" s="30"/>
      <c r="B5" s="30"/>
      <c r="E5" s="7">
        <v>2</v>
      </c>
      <c r="F5" s="36" t="s">
        <v>51</v>
      </c>
      <c r="G5" s="36" t="s">
        <v>56</v>
      </c>
      <c r="H5" s="15" t="s">
        <v>43</v>
      </c>
      <c r="I5" s="31">
        <v>1.5</v>
      </c>
      <c r="J5" s="31">
        <v>84</v>
      </c>
      <c r="K5" s="31">
        <f>B3-5</f>
        <v>1995</v>
      </c>
      <c r="L5" s="31">
        <f>B19*2*B4</f>
        <v>4</v>
      </c>
      <c r="M5" s="79">
        <f>I5*J5*K5*7.85/1000000*L5</f>
        <v>7.8930179999999996</v>
      </c>
      <c r="N5" s="83">
        <f>(M5*O5+M5)*1.03</f>
        <v>8.7801932231999995</v>
      </c>
      <c r="O5" s="70">
        <v>0.08</v>
      </c>
    </row>
    <row r="6" spans="1:15" ht="15.75" x14ac:dyDescent="0.25">
      <c r="A6" s="30"/>
      <c r="B6" s="30"/>
      <c r="E6" s="7"/>
      <c r="F6" s="133" t="s">
        <v>150</v>
      </c>
      <c r="G6" s="133" t="s">
        <v>267</v>
      </c>
      <c r="H6" s="15"/>
      <c r="I6" s="31"/>
      <c r="J6" s="31"/>
      <c r="K6" s="31"/>
      <c r="L6" s="31">
        <f>30*B4</f>
        <v>30</v>
      </c>
      <c r="M6" s="79"/>
      <c r="N6" s="83">
        <f>L6</f>
        <v>30</v>
      </c>
      <c r="O6" s="70"/>
    </row>
    <row r="7" spans="1:15" ht="15.75" x14ac:dyDescent="0.25">
      <c r="A7" s="30"/>
      <c r="B7" s="30"/>
      <c r="E7" s="7"/>
      <c r="F7" s="133" t="s">
        <v>151</v>
      </c>
      <c r="G7" s="133" t="s">
        <v>226</v>
      </c>
      <c r="H7" s="15"/>
      <c r="I7" s="31"/>
      <c r="J7" s="31"/>
      <c r="K7" s="31"/>
      <c r="L7" s="31">
        <f>L6</f>
        <v>30</v>
      </c>
      <c r="M7" s="79"/>
      <c r="N7" s="83">
        <f>L7</f>
        <v>30</v>
      </c>
      <c r="O7" s="70"/>
    </row>
    <row r="8" spans="1:15" ht="18.75" x14ac:dyDescent="0.25">
      <c r="A8" s="30"/>
      <c r="B8" s="30"/>
      <c r="E8" s="97"/>
      <c r="F8" s="104"/>
      <c r="G8" s="104"/>
      <c r="H8" s="100"/>
      <c r="I8" s="105"/>
      <c r="J8" s="105"/>
      <c r="K8" s="105"/>
      <c r="L8" s="105"/>
      <c r="M8" s="109"/>
      <c r="N8" s="110"/>
      <c r="O8" s="103"/>
    </row>
    <row r="9" spans="1:15" ht="18.75" x14ac:dyDescent="0.25">
      <c r="E9" s="7">
        <v>3</v>
      </c>
      <c r="F9" s="36" t="s">
        <v>50</v>
      </c>
      <c r="G9" s="37" t="s">
        <v>57</v>
      </c>
      <c r="H9" s="15" t="s">
        <v>36</v>
      </c>
      <c r="I9" s="8" t="s">
        <v>37</v>
      </c>
      <c r="J9" s="8" t="s">
        <v>37</v>
      </c>
      <c r="K9" s="8" t="s">
        <v>37</v>
      </c>
      <c r="L9" s="67">
        <f>ROUNDUP(C26+C27,0)*B4</f>
        <v>25</v>
      </c>
      <c r="M9" s="67">
        <f>L9</f>
        <v>25</v>
      </c>
      <c r="N9" s="41">
        <f>L9</f>
        <v>25</v>
      </c>
      <c r="O9" s="70">
        <v>0</v>
      </c>
    </row>
    <row r="10" spans="1:15" ht="18.75" x14ac:dyDescent="0.25">
      <c r="A10" s="23" t="s">
        <v>63</v>
      </c>
      <c r="B10" s="23">
        <v>4000</v>
      </c>
      <c r="E10" s="7">
        <v>4</v>
      </c>
      <c r="F10" s="36" t="s">
        <v>52</v>
      </c>
      <c r="G10" s="37" t="s">
        <v>57</v>
      </c>
      <c r="H10" s="37" t="s">
        <v>65</v>
      </c>
      <c r="I10" s="8" t="s">
        <v>37</v>
      </c>
      <c r="J10" s="8" t="s">
        <v>37</v>
      </c>
      <c r="K10" s="8" t="s">
        <v>37</v>
      </c>
      <c r="L10" s="8">
        <f>L9+20*B4</f>
        <v>45</v>
      </c>
      <c r="M10" s="67">
        <f>L10</f>
        <v>45</v>
      </c>
      <c r="N10" s="41">
        <f>L10</f>
        <v>45</v>
      </c>
      <c r="O10" s="70">
        <v>0</v>
      </c>
    </row>
    <row r="11" spans="1:15" ht="18.75" x14ac:dyDescent="0.25">
      <c r="A11" s="23" t="s">
        <v>124</v>
      </c>
      <c r="B11" s="23">
        <v>2500</v>
      </c>
      <c r="E11" s="7">
        <v>5</v>
      </c>
      <c r="F11" s="36" t="s">
        <v>53</v>
      </c>
      <c r="G11" s="37" t="s">
        <v>57</v>
      </c>
      <c r="H11" s="37" t="s">
        <v>65</v>
      </c>
      <c r="I11" s="8" t="s">
        <v>37</v>
      </c>
      <c r="J11" s="8" t="s">
        <v>37</v>
      </c>
      <c r="K11" s="8" t="s">
        <v>37</v>
      </c>
      <c r="L11" s="8">
        <f>L10</f>
        <v>45</v>
      </c>
      <c r="M11" s="67">
        <f>L11</f>
        <v>45</v>
      </c>
      <c r="N11" s="41">
        <f>L11</f>
        <v>45</v>
      </c>
      <c r="O11" s="70">
        <v>0</v>
      </c>
    </row>
    <row r="12" spans="1:15" ht="18.75" x14ac:dyDescent="0.25">
      <c r="E12" s="7">
        <v>6</v>
      </c>
      <c r="F12" s="36" t="s">
        <v>58</v>
      </c>
      <c r="G12" s="37" t="s">
        <v>54</v>
      </c>
      <c r="H12" s="37" t="s">
        <v>64</v>
      </c>
      <c r="I12" s="8" t="s">
        <v>116</v>
      </c>
      <c r="J12" s="8">
        <v>60</v>
      </c>
      <c r="K12" s="8">
        <v>40</v>
      </c>
      <c r="L12" s="8">
        <f>L11</f>
        <v>45</v>
      </c>
      <c r="M12" s="67">
        <f>L12</f>
        <v>45</v>
      </c>
      <c r="N12" s="41">
        <f>L12</f>
        <v>45</v>
      </c>
      <c r="O12" s="70">
        <v>0</v>
      </c>
    </row>
    <row r="13" spans="1:15" ht="18.75" x14ac:dyDescent="0.25">
      <c r="E13" s="7">
        <v>7</v>
      </c>
      <c r="F13" s="37" t="s">
        <v>59</v>
      </c>
      <c r="G13" s="37" t="s">
        <v>55</v>
      </c>
      <c r="H13" s="37" t="s">
        <v>64</v>
      </c>
      <c r="I13" s="8" t="s">
        <v>116</v>
      </c>
      <c r="J13" s="8">
        <v>6</v>
      </c>
      <c r="K13" s="8" t="s">
        <v>37</v>
      </c>
      <c r="L13" s="8">
        <f>L12</f>
        <v>45</v>
      </c>
      <c r="M13" s="67">
        <f>L13</f>
        <v>45</v>
      </c>
      <c r="N13" s="41">
        <f>L13</f>
        <v>45</v>
      </c>
      <c r="O13" s="70">
        <v>0</v>
      </c>
    </row>
    <row r="14" spans="1:15" ht="18.75" x14ac:dyDescent="0.25">
      <c r="E14" s="7">
        <v>8</v>
      </c>
      <c r="F14" s="37" t="s">
        <v>154</v>
      </c>
      <c r="G14" s="37" t="s">
        <v>154</v>
      </c>
      <c r="H14" s="37" t="s">
        <v>64</v>
      </c>
      <c r="I14" s="8" t="s">
        <v>155</v>
      </c>
      <c r="J14" s="8">
        <v>6</v>
      </c>
      <c r="K14" s="8">
        <v>16</v>
      </c>
      <c r="L14" s="8">
        <f>L12</f>
        <v>45</v>
      </c>
      <c r="M14" s="8">
        <f t="shared" ref="M14:N14" si="0">M12</f>
        <v>45</v>
      </c>
      <c r="N14" s="8">
        <f t="shared" si="0"/>
        <v>45</v>
      </c>
      <c r="O14" s="70">
        <v>0</v>
      </c>
    </row>
    <row r="15" spans="1:15" ht="18.75" x14ac:dyDescent="0.25">
      <c r="E15" s="97"/>
      <c r="F15" s="98"/>
      <c r="G15" s="104"/>
      <c r="H15" s="98"/>
      <c r="I15" s="99"/>
      <c r="J15" s="99"/>
      <c r="K15" s="99"/>
      <c r="L15" s="99"/>
      <c r="M15" s="111"/>
      <c r="N15" s="105"/>
      <c r="O15" s="103"/>
    </row>
    <row r="16" spans="1:15" ht="18.75" x14ac:dyDescent="0.25">
      <c r="E16" s="7">
        <v>9</v>
      </c>
      <c r="F16" s="39" t="s">
        <v>157</v>
      </c>
      <c r="G16" s="36" t="s">
        <v>56</v>
      </c>
      <c r="H16" s="15" t="s">
        <v>43</v>
      </c>
      <c r="I16" s="8">
        <v>1.5</v>
      </c>
      <c r="J16" s="8">
        <v>88</v>
      </c>
      <c r="K16" s="8">
        <v>900</v>
      </c>
      <c r="L16" s="8">
        <f>2*B4</f>
        <v>2</v>
      </c>
      <c r="M16" s="79">
        <f>I16*J16*K16*7.85/1000000*L16</f>
        <v>1.8651599999999999</v>
      </c>
      <c r="N16" s="134">
        <f>M16*(1+O16)</f>
        <v>1.9211148</v>
      </c>
      <c r="O16" s="70">
        <v>0.03</v>
      </c>
    </row>
    <row r="17" spans="1:15" ht="18.75" x14ac:dyDescent="0.25">
      <c r="E17" s="7">
        <v>10</v>
      </c>
      <c r="F17" s="39" t="s">
        <v>156</v>
      </c>
      <c r="G17" s="36" t="s">
        <v>56</v>
      </c>
      <c r="H17" s="32" t="s">
        <v>43</v>
      </c>
      <c r="I17" s="8">
        <v>1.5</v>
      </c>
      <c r="J17" s="8">
        <v>88</v>
      </c>
      <c r="K17" s="8">
        <v>600</v>
      </c>
      <c r="L17" s="8">
        <f>2*B4</f>
        <v>2</v>
      </c>
      <c r="M17" s="79">
        <f>I17*J17*K17*7.85/1000000*L17</f>
        <v>1.2434400000000001</v>
      </c>
      <c r="N17" s="134">
        <f>M17*(1+O17)</f>
        <v>1.2807432000000001</v>
      </c>
      <c r="O17" s="70">
        <v>0.03</v>
      </c>
    </row>
    <row r="18" spans="1:15" ht="18.75" x14ac:dyDescent="0.25">
      <c r="E18" s="7">
        <v>11</v>
      </c>
      <c r="F18" s="39" t="s">
        <v>158</v>
      </c>
      <c r="G18" s="36" t="s">
        <v>56</v>
      </c>
      <c r="H18" s="15" t="s">
        <v>43</v>
      </c>
      <c r="I18" s="8">
        <v>1.5</v>
      </c>
      <c r="J18" s="8">
        <v>88</v>
      </c>
      <c r="K18" s="8">
        <v>900</v>
      </c>
      <c r="L18" s="8">
        <f>2*B4</f>
        <v>2</v>
      </c>
      <c r="M18" s="79">
        <f>I18*J18*K18*7.85/1000000*L18</f>
        <v>1.8651599999999999</v>
      </c>
      <c r="N18" s="134">
        <f>M18*(1+O18)</f>
        <v>1.9211148</v>
      </c>
      <c r="O18" s="70">
        <v>0.03</v>
      </c>
    </row>
    <row r="19" spans="1:15" ht="18.75" x14ac:dyDescent="0.25">
      <c r="A19" s="24" t="s">
        <v>132</v>
      </c>
      <c r="B19" s="41">
        <f>ROUNDDOWN(B2/900,0)</f>
        <v>2</v>
      </c>
      <c r="C19" s="24"/>
      <c r="D19" s="68" t="s">
        <v>133</v>
      </c>
      <c r="E19" s="7">
        <v>12</v>
      </c>
      <c r="F19" s="39" t="s">
        <v>159</v>
      </c>
      <c r="G19" s="36" t="s">
        <v>56</v>
      </c>
      <c r="H19" s="32" t="s">
        <v>43</v>
      </c>
      <c r="I19" s="8">
        <v>1.5</v>
      </c>
      <c r="J19" s="8">
        <v>88</v>
      </c>
      <c r="K19" s="8">
        <v>600</v>
      </c>
      <c r="L19" s="8">
        <f>2*B4</f>
        <v>2</v>
      </c>
      <c r="M19" s="79">
        <f>I19*J19*K19*7.85/1000000*L19</f>
        <v>1.2434400000000001</v>
      </c>
      <c r="N19" s="134">
        <f>M19*(1+O19)</f>
        <v>1.2807432000000001</v>
      </c>
      <c r="O19" s="70">
        <v>0.03</v>
      </c>
    </row>
    <row r="20" spans="1:15" ht="19.5" thickBot="1" x14ac:dyDescent="0.3">
      <c r="A20" s="24" t="s">
        <v>60</v>
      </c>
      <c r="B20" s="24">
        <f>B2-B19*900</f>
        <v>200</v>
      </c>
      <c r="C20" s="24">
        <f>IF(B20=0,0,1)</f>
        <v>1</v>
      </c>
      <c r="D20" s="68" t="s">
        <v>134</v>
      </c>
      <c r="E20" s="89">
        <v>13</v>
      </c>
      <c r="F20" s="40" t="s">
        <v>126</v>
      </c>
      <c r="G20" s="40" t="s">
        <v>56</v>
      </c>
      <c r="H20" s="90" t="s">
        <v>43</v>
      </c>
      <c r="I20" s="91">
        <v>1.5</v>
      </c>
      <c r="J20" s="91">
        <v>88</v>
      </c>
      <c r="K20" s="91">
        <f>B2</f>
        <v>2000</v>
      </c>
      <c r="L20" s="91">
        <f>(B28*2)*B4</f>
        <v>4</v>
      </c>
      <c r="M20" s="92">
        <f>I20*J20*K20*7.85/1000000*L20</f>
        <v>8.2896000000000001</v>
      </c>
      <c r="N20" s="93">
        <f>(M20*O20+M20)*1.03</f>
        <v>8.7944366400000007</v>
      </c>
      <c r="O20" s="94">
        <v>0.03</v>
      </c>
    </row>
    <row r="21" spans="1:15" ht="15.75" x14ac:dyDescent="0.25">
      <c r="A21" s="24" t="s">
        <v>61</v>
      </c>
      <c r="B21" s="24">
        <f>IF(B3&gt;B10,2,0)</f>
        <v>0</v>
      </c>
      <c r="C21" s="24"/>
      <c r="D21" s="68" t="s">
        <v>135</v>
      </c>
    </row>
    <row r="22" spans="1:15" ht="15.75" x14ac:dyDescent="0.25">
      <c r="A22" s="24" t="s">
        <v>129</v>
      </c>
      <c r="B22" s="24">
        <f>ROUNDDOWN( B3/600,0)</f>
        <v>3</v>
      </c>
      <c r="C22" s="24"/>
      <c r="D22" s="68" t="s">
        <v>136</v>
      </c>
    </row>
    <row r="23" spans="1:15" ht="15.75" x14ac:dyDescent="0.25">
      <c r="A23" s="24" t="s">
        <v>130</v>
      </c>
      <c r="B23" s="24">
        <f>B3-B22*600</f>
        <v>200</v>
      </c>
      <c r="C23" s="24"/>
      <c r="D23" s="68" t="s">
        <v>137</v>
      </c>
    </row>
    <row r="24" spans="1:15" ht="15.75" x14ac:dyDescent="0.25">
      <c r="A24" s="24" t="s">
        <v>128</v>
      </c>
      <c r="B24" s="24">
        <f>B22*3</f>
        <v>9</v>
      </c>
      <c r="C24" s="24"/>
      <c r="D24" s="68" t="s">
        <v>139</v>
      </c>
    </row>
    <row r="25" spans="1:15" ht="15.75" x14ac:dyDescent="0.25">
      <c r="A25" s="24" t="s">
        <v>131</v>
      </c>
      <c r="B25" s="24">
        <f>IF(B23&lt;=300,1.5,3)</f>
        <v>1.5</v>
      </c>
      <c r="C25" s="24"/>
      <c r="D25" s="68" t="s">
        <v>138</v>
      </c>
    </row>
    <row r="26" spans="1:15" ht="15.75" x14ac:dyDescent="0.25">
      <c r="A26" s="24" t="s">
        <v>66</v>
      </c>
      <c r="B26" s="41">
        <f>B24+B25</f>
        <v>10.5</v>
      </c>
      <c r="C26" s="24">
        <f>B26*B19</f>
        <v>21</v>
      </c>
      <c r="D26" s="68" t="s">
        <v>140</v>
      </c>
    </row>
    <row r="27" spans="1:15" ht="15.75" x14ac:dyDescent="0.25">
      <c r="A27" s="24" t="s">
        <v>67</v>
      </c>
      <c r="B27" s="41">
        <f>ROUNDUP(B3/300,0)</f>
        <v>7</v>
      </c>
      <c r="C27" s="41">
        <f>IF(B20&lt;=300,B27/2,B27)</f>
        <v>3.5</v>
      </c>
      <c r="D27" s="68" t="s">
        <v>141</v>
      </c>
    </row>
    <row r="28" spans="1:15" x14ac:dyDescent="0.25">
      <c r="A28" s="23" t="s">
        <v>125</v>
      </c>
      <c r="B28" s="23">
        <f>IF('Input Data'!H5&lt;=4000,2,0)+IF('Input Data'!H5&gt;4000,3,0)</f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zoomScale="130" zoomScaleNormal="130" workbookViewId="0">
      <selection activeCell="O43" sqref="O43"/>
    </sheetView>
  </sheetViews>
  <sheetFormatPr defaultRowHeight="15" x14ac:dyDescent="0.25"/>
  <cols>
    <col min="1" max="1" width="3.7109375" bestFit="1" customWidth="1"/>
    <col min="2" max="2" width="10.42578125" bestFit="1" customWidth="1"/>
    <col min="9" max="9" width="9.85546875" bestFit="1" customWidth="1"/>
  </cols>
  <sheetData>
    <row r="1" spans="1:12" s="47" customFormat="1" ht="15" customHeight="1" x14ac:dyDescent="0.25">
      <c r="A1" s="42"/>
      <c r="B1" s="42"/>
      <c r="C1" s="42"/>
      <c r="D1" s="42"/>
      <c r="E1" s="44"/>
      <c r="F1" s="45" t="s">
        <v>75</v>
      </c>
      <c r="G1" s="46"/>
      <c r="H1" s="43"/>
      <c r="I1" s="43"/>
      <c r="J1" s="43"/>
      <c r="K1" s="43"/>
      <c r="L1" s="42"/>
    </row>
    <row r="2" spans="1:12" s="47" customFormat="1" ht="22.5" x14ac:dyDescent="0.25">
      <c r="A2" s="48" t="s">
        <v>0</v>
      </c>
      <c r="B2" s="48" t="s">
        <v>76</v>
      </c>
      <c r="C2" s="48" t="s">
        <v>4</v>
      </c>
      <c r="D2" s="48" t="s">
        <v>13</v>
      </c>
      <c r="E2" s="50" t="s">
        <v>77</v>
      </c>
      <c r="F2" s="51" t="s">
        <v>10</v>
      </c>
      <c r="G2" s="51" t="s">
        <v>11</v>
      </c>
      <c r="H2" s="49" t="s">
        <v>78</v>
      </c>
      <c r="I2" s="49" t="s">
        <v>79</v>
      </c>
      <c r="J2" s="49" t="s">
        <v>80</v>
      </c>
      <c r="K2" s="49" t="s">
        <v>81</v>
      </c>
      <c r="L2" s="48" t="s">
        <v>82</v>
      </c>
    </row>
    <row r="3" spans="1:12" s="47" customFormat="1" x14ac:dyDescent="0.25">
      <c r="A3" s="52">
        <v>1</v>
      </c>
      <c r="B3" s="53" t="s">
        <v>86</v>
      </c>
      <c r="C3" s="53" t="s">
        <v>87</v>
      </c>
      <c r="D3" s="53" t="s">
        <v>88</v>
      </c>
      <c r="E3" s="54">
        <f>'Input Data'!J3</f>
        <v>0</v>
      </c>
      <c r="F3" s="52" t="s">
        <v>90</v>
      </c>
      <c r="G3" s="55">
        <f>'Input Data'!H3</f>
        <v>0</v>
      </c>
      <c r="H3" s="52">
        <f>'Input Data'!I3</f>
        <v>0</v>
      </c>
      <c r="I3" s="66">
        <f>G3/1000*H3</f>
        <v>0</v>
      </c>
      <c r="J3" s="52" t="s">
        <v>123</v>
      </c>
      <c r="K3" s="52" t="s">
        <v>37</v>
      </c>
      <c r="L3" s="52" t="s">
        <v>37</v>
      </c>
    </row>
    <row r="4" spans="1:12" s="47" customFormat="1" x14ac:dyDescent="0.25">
      <c r="A4" s="52">
        <v>2</v>
      </c>
      <c r="B4" s="53" t="s">
        <v>86</v>
      </c>
      <c r="C4" s="53" t="s">
        <v>87</v>
      </c>
      <c r="D4" s="53" t="s">
        <v>88</v>
      </c>
      <c r="E4" s="54">
        <f>'Input Data'!J4</f>
        <v>0</v>
      </c>
      <c r="F4" s="52" t="s">
        <v>90</v>
      </c>
      <c r="G4" s="55">
        <f>'Input Data'!H4</f>
        <v>0</v>
      </c>
      <c r="H4" s="52">
        <f>'Input Data'!I4</f>
        <v>0</v>
      </c>
      <c r="I4" s="66">
        <f>G4/1000*H4</f>
        <v>0</v>
      </c>
      <c r="J4" s="52" t="s">
        <v>123</v>
      </c>
      <c r="K4" s="52" t="s">
        <v>37</v>
      </c>
      <c r="L4" s="52" t="s">
        <v>37</v>
      </c>
    </row>
    <row r="5" spans="1:12" s="47" customFormat="1" x14ac:dyDescent="0.25">
      <c r="A5" s="52">
        <v>3</v>
      </c>
      <c r="B5" s="53" t="s">
        <v>92</v>
      </c>
      <c r="C5" s="53" t="s">
        <v>87</v>
      </c>
      <c r="D5" s="53" t="s">
        <v>57</v>
      </c>
      <c r="E5" s="54">
        <f>'Input Data'!J3</f>
        <v>0</v>
      </c>
      <c r="F5" s="55" t="s">
        <v>37</v>
      </c>
      <c r="G5" s="55" t="s">
        <v>37</v>
      </c>
      <c r="H5" s="52">
        <f>('Input Data'!I3+'Input Data'!I4)*2</f>
        <v>0</v>
      </c>
      <c r="I5" s="66">
        <f>H5</f>
        <v>0</v>
      </c>
      <c r="J5" s="52" t="s">
        <v>91</v>
      </c>
      <c r="K5" s="52" t="s">
        <v>37</v>
      </c>
      <c r="L5" s="52" t="s">
        <v>37</v>
      </c>
    </row>
    <row r="6" spans="1:12" s="47" customFormat="1" x14ac:dyDescent="0.25">
      <c r="A6" s="52">
        <v>4</v>
      </c>
      <c r="B6" s="57" t="s">
        <v>93</v>
      </c>
      <c r="C6" s="53" t="s">
        <v>87</v>
      </c>
      <c r="D6" s="53" t="s">
        <v>57</v>
      </c>
      <c r="E6" s="54" t="s">
        <v>89</v>
      </c>
      <c r="F6" s="59" t="s">
        <v>37</v>
      </c>
      <c r="G6" s="59" t="s">
        <v>37</v>
      </c>
      <c r="H6" s="58">
        <f>('Input Data'!I3+'Input Data'!I4)</f>
        <v>0</v>
      </c>
      <c r="I6" s="66">
        <f>H6</f>
        <v>0</v>
      </c>
      <c r="J6" s="58" t="s">
        <v>91</v>
      </c>
      <c r="K6" s="58" t="s">
        <v>37</v>
      </c>
      <c r="L6" s="58" t="s">
        <v>37</v>
      </c>
    </row>
    <row r="7" spans="1:12" s="47" customFormat="1" x14ac:dyDescent="0.25">
      <c r="A7" s="52">
        <v>5</v>
      </c>
      <c r="B7" s="53" t="s">
        <v>83</v>
      </c>
      <c r="C7" s="52" t="s">
        <v>84</v>
      </c>
      <c r="D7" s="52" t="s">
        <v>8</v>
      </c>
      <c r="E7" s="54">
        <v>10</v>
      </c>
      <c r="F7" s="52">
        <v>240</v>
      </c>
      <c r="G7" s="55">
        <v>240</v>
      </c>
      <c r="H7" s="52">
        <f>'Input Data'!I3+'Input Data'!I4</f>
        <v>0</v>
      </c>
      <c r="I7" s="66">
        <f>E7*F7*G7/1000000*7.85*H7</f>
        <v>0</v>
      </c>
      <c r="J7" s="52" t="s">
        <v>85</v>
      </c>
      <c r="K7" s="61"/>
      <c r="L7" s="56" t="e">
        <f>(I7-K7)/K7</f>
        <v>#DIV/0!</v>
      </c>
    </row>
    <row r="8" spans="1:12" s="47" customFormat="1" x14ac:dyDescent="0.25">
      <c r="A8" s="52">
        <v>6</v>
      </c>
      <c r="B8" s="53" t="s">
        <v>94</v>
      </c>
      <c r="C8" s="53" t="s">
        <v>87</v>
      </c>
      <c r="D8" s="53" t="s">
        <v>57</v>
      </c>
      <c r="E8" s="54" t="s">
        <v>37</v>
      </c>
      <c r="F8" s="59" t="s">
        <v>37</v>
      </c>
      <c r="G8" s="59" t="s">
        <v>37</v>
      </c>
      <c r="H8" s="58">
        <f>ROUNDDOWN('Input Data'!H3/304,0)*'Input Data'!I3+ROUNDDOWN('Input Data'!H4/304,0)*'Input Data'!I4</f>
        <v>0</v>
      </c>
      <c r="I8" s="66">
        <f>H8</f>
        <v>0</v>
      </c>
      <c r="J8" s="58" t="s">
        <v>91</v>
      </c>
      <c r="K8" s="58" t="s">
        <v>37</v>
      </c>
      <c r="L8" s="58" t="s">
        <v>37</v>
      </c>
    </row>
    <row r="9" spans="1:12" s="47" customFormat="1" x14ac:dyDescent="0.25">
      <c r="A9" s="52">
        <v>7</v>
      </c>
      <c r="B9" s="53" t="s">
        <v>96</v>
      </c>
      <c r="C9" s="53" t="s">
        <v>97</v>
      </c>
      <c r="D9" s="53" t="s">
        <v>57</v>
      </c>
      <c r="E9" s="59" t="s">
        <v>37</v>
      </c>
      <c r="F9" s="59" t="s">
        <v>37</v>
      </c>
      <c r="G9" s="59" t="s">
        <v>37</v>
      </c>
      <c r="H9" s="58">
        <f>H8</f>
        <v>0</v>
      </c>
      <c r="I9" s="66">
        <f>H9</f>
        <v>0</v>
      </c>
      <c r="J9" s="58" t="s">
        <v>91</v>
      </c>
      <c r="K9" s="58" t="s">
        <v>37</v>
      </c>
      <c r="L9" s="58" t="s">
        <v>37</v>
      </c>
    </row>
    <row r="10" spans="1:12" s="47" customFormat="1" x14ac:dyDescent="0.25">
      <c r="A10" s="52">
        <v>8</v>
      </c>
      <c r="B10" s="57" t="s">
        <v>95</v>
      </c>
      <c r="C10" s="53" t="s">
        <v>87</v>
      </c>
      <c r="D10" s="53" t="s">
        <v>57</v>
      </c>
      <c r="E10" s="54" t="s">
        <v>37</v>
      </c>
      <c r="F10" s="59" t="s">
        <v>37</v>
      </c>
      <c r="G10" s="59" t="s">
        <v>37</v>
      </c>
      <c r="H10" s="58">
        <f>H8</f>
        <v>0</v>
      </c>
      <c r="I10" s="66">
        <f>H10</f>
        <v>0</v>
      </c>
      <c r="J10" s="58" t="s">
        <v>91</v>
      </c>
      <c r="K10" s="58" t="s">
        <v>37</v>
      </c>
      <c r="L10" s="58" t="s">
        <v>37</v>
      </c>
    </row>
    <row r="11" spans="1:12" s="47" customFormat="1" x14ac:dyDescent="0.25">
      <c r="A11" s="52">
        <v>9</v>
      </c>
      <c r="B11" s="53" t="s">
        <v>103</v>
      </c>
      <c r="C11" s="53" t="s">
        <v>87</v>
      </c>
      <c r="D11" s="53" t="s">
        <v>104</v>
      </c>
      <c r="E11" s="54" t="s">
        <v>105</v>
      </c>
      <c r="F11" s="52" t="s">
        <v>37</v>
      </c>
      <c r="G11" s="52">
        <f>H13*77</f>
        <v>77</v>
      </c>
      <c r="H11" s="58">
        <v>1</v>
      </c>
      <c r="I11" s="95">
        <f>PI()*0.065*0.065/4*G11/1000*900</f>
        <v>0.22995869175654737</v>
      </c>
      <c r="J11" s="58" t="s">
        <v>85</v>
      </c>
      <c r="K11" s="63"/>
      <c r="L11" s="56" t="e">
        <f>(I11-K11)/K11</f>
        <v>#DIV/0!</v>
      </c>
    </row>
    <row r="12" spans="1:12" s="47" customFormat="1" x14ac:dyDescent="0.25">
      <c r="A12" s="52">
        <v>10</v>
      </c>
      <c r="B12" s="53" t="s">
        <v>98</v>
      </c>
      <c r="C12" s="52" t="s">
        <v>99</v>
      </c>
      <c r="D12" s="53" t="s">
        <v>88</v>
      </c>
      <c r="E12" s="54" t="s">
        <v>100</v>
      </c>
      <c r="F12" s="52" t="s">
        <v>101</v>
      </c>
      <c r="G12" s="55">
        <f>'Input Data'!H5</f>
        <v>1000</v>
      </c>
      <c r="H12" s="52">
        <f>'Input Data'!I5</f>
        <v>1</v>
      </c>
      <c r="I12" s="66">
        <f>G12/1000*H12</f>
        <v>1</v>
      </c>
      <c r="J12" s="52" t="s">
        <v>123</v>
      </c>
      <c r="K12" s="52" t="s">
        <v>37</v>
      </c>
      <c r="L12" s="52" t="s">
        <v>37</v>
      </c>
    </row>
    <row r="13" spans="1:12" s="47" customFormat="1" x14ac:dyDescent="0.25">
      <c r="A13" s="52">
        <v>11</v>
      </c>
      <c r="B13" s="57" t="s">
        <v>102</v>
      </c>
      <c r="C13" s="52" t="s">
        <v>99</v>
      </c>
      <c r="D13" s="53" t="s">
        <v>57</v>
      </c>
      <c r="E13" s="59" t="s">
        <v>37</v>
      </c>
      <c r="F13" s="59" t="s">
        <v>37</v>
      </c>
      <c r="G13" s="59" t="s">
        <v>37</v>
      </c>
      <c r="H13" s="58">
        <f>H12</f>
        <v>1</v>
      </c>
      <c r="I13" s="95">
        <f>H13</f>
        <v>1</v>
      </c>
      <c r="J13" s="58" t="s">
        <v>91</v>
      </c>
      <c r="K13" s="58" t="s">
        <v>37</v>
      </c>
      <c r="L13" s="58" t="s">
        <v>37</v>
      </c>
    </row>
    <row r="14" spans="1:12" s="47" customFormat="1" x14ac:dyDescent="0.25">
      <c r="A14" s="52">
        <v>12</v>
      </c>
      <c r="B14" s="53" t="s">
        <v>106</v>
      </c>
      <c r="C14" s="53" t="s">
        <v>107</v>
      </c>
      <c r="D14" s="53" t="s">
        <v>57</v>
      </c>
      <c r="E14" s="59" t="s">
        <v>37</v>
      </c>
      <c r="F14" s="59" t="s">
        <v>37</v>
      </c>
      <c r="G14" s="59" t="s">
        <v>37</v>
      </c>
      <c r="H14" s="52">
        <f>(ROUNDUP('Input Data'!H5/76,0)-2)*'Input Data'!I5</f>
        <v>12</v>
      </c>
      <c r="I14" s="66">
        <f t="shared" ref="I14:I24" si="0">H14</f>
        <v>12</v>
      </c>
      <c r="J14" s="58" t="s">
        <v>91</v>
      </c>
      <c r="K14" s="58" t="s">
        <v>37</v>
      </c>
      <c r="L14" s="58" t="s">
        <v>37</v>
      </c>
    </row>
    <row r="15" spans="1:12" s="47" customFormat="1" x14ac:dyDescent="0.25">
      <c r="A15" s="52">
        <v>13</v>
      </c>
      <c r="B15" s="53" t="s">
        <v>108</v>
      </c>
      <c r="C15" s="53" t="s">
        <v>109</v>
      </c>
      <c r="D15" s="53" t="s">
        <v>57</v>
      </c>
      <c r="E15" s="59" t="s">
        <v>37</v>
      </c>
      <c r="F15" s="59" t="s">
        <v>37</v>
      </c>
      <c r="G15" s="59" t="s">
        <v>37</v>
      </c>
      <c r="H15" s="52">
        <f>H14</f>
        <v>12</v>
      </c>
      <c r="I15" s="66">
        <f t="shared" si="0"/>
        <v>12</v>
      </c>
      <c r="J15" s="58" t="s">
        <v>91</v>
      </c>
      <c r="K15" s="58" t="s">
        <v>37</v>
      </c>
      <c r="L15" s="58" t="s">
        <v>37</v>
      </c>
    </row>
    <row r="16" spans="1:12" s="47" customFormat="1" x14ac:dyDescent="0.25">
      <c r="A16" s="52">
        <v>14</v>
      </c>
      <c r="B16" s="53" t="s">
        <v>110</v>
      </c>
      <c r="C16" s="53" t="s">
        <v>97</v>
      </c>
      <c r="D16" s="53" t="s">
        <v>57</v>
      </c>
      <c r="E16" s="59" t="s">
        <v>37</v>
      </c>
      <c r="F16" s="59" t="s">
        <v>37</v>
      </c>
      <c r="G16" s="59" t="s">
        <v>37</v>
      </c>
      <c r="H16" s="52">
        <f>H15</f>
        <v>12</v>
      </c>
      <c r="I16" s="66">
        <f t="shared" si="0"/>
        <v>12</v>
      </c>
      <c r="J16" s="58" t="s">
        <v>91</v>
      </c>
      <c r="K16" s="58" t="s">
        <v>37</v>
      </c>
      <c r="L16" s="58" t="s">
        <v>37</v>
      </c>
    </row>
    <row r="17" spans="1:12" s="47" customFormat="1" x14ac:dyDescent="0.25">
      <c r="A17" s="52">
        <v>15</v>
      </c>
      <c r="B17" s="53" t="s">
        <v>111</v>
      </c>
      <c r="C17" s="53" t="s">
        <v>112</v>
      </c>
      <c r="D17" s="53" t="s">
        <v>57</v>
      </c>
      <c r="E17" s="59" t="s">
        <v>37</v>
      </c>
      <c r="F17" s="59" t="s">
        <v>37</v>
      </c>
      <c r="G17" s="59" t="s">
        <v>37</v>
      </c>
      <c r="H17" s="52">
        <f>H16</f>
        <v>12</v>
      </c>
      <c r="I17" s="66">
        <f t="shared" si="0"/>
        <v>12</v>
      </c>
      <c r="J17" s="58" t="s">
        <v>91</v>
      </c>
      <c r="K17" s="58" t="s">
        <v>37</v>
      </c>
      <c r="L17" s="58" t="s">
        <v>37</v>
      </c>
    </row>
    <row r="18" spans="1:12" x14ac:dyDescent="0.25">
      <c r="A18" s="52">
        <v>16</v>
      </c>
      <c r="B18" s="53" t="s">
        <v>143</v>
      </c>
      <c r="C18" s="53" t="s">
        <v>64</v>
      </c>
      <c r="D18" s="53" t="s">
        <v>56</v>
      </c>
      <c r="E18" s="52">
        <v>1.5</v>
      </c>
      <c r="F18" s="52">
        <v>88</v>
      </c>
      <c r="G18" s="52">
        <f>'AB MTO'!K20</f>
        <v>2000</v>
      </c>
      <c r="H18" s="52">
        <f>'AB MTO'!L20</f>
        <v>4</v>
      </c>
      <c r="I18" s="66">
        <f>'AB MTO'!N20</f>
        <v>8.7944366400000007</v>
      </c>
      <c r="J18" s="58" t="s">
        <v>85</v>
      </c>
      <c r="K18" s="58">
        <f>'AB MTO'!M20</f>
        <v>8.2896000000000001</v>
      </c>
      <c r="L18" s="56">
        <f>'AB MTO'!O20</f>
        <v>0.03</v>
      </c>
    </row>
    <row r="19" spans="1:12" s="47" customFormat="1" x14ac:dyDescent="0.25">
      <c r="A19" s="52">
        <v>17</v>
      </c>
      <c r="B19" s="53" t="s">
        <v>113</v>
      </c>
      <c r="C19" s="53" t="s">
        <v>114</v>
      </c>
      <c r="D19" s="53" t="s">
        <v>57</v>
      </c>
      <c r="E19" s="59" t="s">
        <v>37</v>
      </c>
      <c r="F19" s="59" t="s">
        <v>37</v>
      </c>
      <c r="G19" s="59" t="s">
        <v>37</v>
      </c>
      <c r="H19" s="62">
        <f>'AB MTO'!B28*'NB MTO'!H12</f>
        <v>2</v>
      </c>
      <c r="I19" s="66">
        <f t="shared" si="0"/>
        <v>2</v>
      </c>
      <c r="J19" s="58" t="s">
        <v>91</v>
      </c>
      <c r="K19" s="58" t="s">
        <v>37</v>
      </c>
      <c r="L19" s="58" t="s">
        <v>37</v>
      </c>
    </row>
    <row r="20" spans="1:12" s="47" customFormat="1" x14ac:dyDescent="0.25">
      <c r="A20" s="52">
        <v>18</v>
      </c>
      <c r="B20" s="53" t="s">
        <v>58</v>
      </c>
      <c r="C20" s="53" t="s">
        <v>115</v>
      </c>
      <c r="D20" s="53" t="s">
        <v>54</v>
      </c>
      <c r="E20" s="52" t="s">
        <v>116</v>
      </c>
      <c r="F20" s="52">
        <v>6</v>
      </c>
      <c r="G20" s="52">
        <v>30</v>
      </c>
      <c r="H20" s="52">
        <f>H19</f>
        <v>2</v>
      </c>
      <c r="I20" s="66">
        <f t="shared" si="0"/>
        <v>2</v>
      </c>
      <c r="J20" s="58" t="s">
        <v>91</v>
      </c>
      <c r="K20" s="58" t="s">
        <v>37</v>
      </c>
      <c r="L20" s="58" t="s">
        <v>37</v>
      </c>
    </row>
    <row r="21" spans="1:12" s="47" customFormat="1" x14ac:dyDescent="0.25">
      <c r="A21" s="52">
        <v>19</v>
      </c>
      <c r="B21" s="53" t="s">
        <v>59</v>
      </c>
      <c r="C21" s="53" t="s">
        <v>115</v>
      </c>
      <c r="D21" s="53" t="s">
        <v>55</v>
      </c>
      <c r="E21" s="52" t="s">
        <v>116</v>
      </c>
      <c r="F21" s="52">
        <v>6</v>
      </c>
      <c r="G21" s="52" t="s">
        <v>37</v>
      </c>
      <c r="H21" s="52">
        <f>H19</f>
        <v>2</v>
      </c>
      <c r="I21" s="66">
        <f t="shared" si="0"/>
        <v>2</v>
      </c>
      <c r="J21" s="58" t="s">
        <v>91</v>
      </c>
      <c r="K21" s="58" t="s">
        <v>37</v>
      </c>
      <c r="L21" s="58" t="s">
        <v>37</v>
      </c>
    </row>
    <row r="22" spans="1:12" s="47" customFormat="1" x14ac:dyDescent="0.25">
      <c r="A22" s="52">
        <v>20</v>
      </c>
      <c r="B22" s="53" t="s">
        <v>119</v>
      </c>
      <c r="C22" s="53" t="s">
        <v>120</v>
      </c>
      <c r="D22" s="53" t="s">
        <v>121</v>
      </c>
      <c r="E22" s="52">
        <v>4</v>
      </c>
      <c r="F22" s="52" t="s">
        <v>122</v>
      </c>
      <c r="G22" s="52">
        <v>500</v>
      </c>
      <c r="H22" s="52">
        <f>'AB MTO'!B28*2*'Input Data'!D3</f>
        <v>4</v>
      </c>
      <c r="I22" s="66">
        <f>H22*1.2</f>
        <v>4.8</v>
      </c>
      <c r="J22" s="58" t="s">
        <v>85</v>
      </c>
      <c r="K22" s="58">
        <f>I22</f>
        <v>4.8</v>
      </c>
      <c r="L22" s="56">
        <f>(I22-K22)/K22</f>
        <v>0</v>
      </c>
    </row>
    <row r="23" spans="1:12" s="47" customFormat="1" x14ac:dyDescent="0.25">
      <c r="A23" s="52">
        <v>21</v>
      </c>
      <c r="B23" s="53" t="s">
        <v>58</v>
      </c>
      <c r="C23" s="53" t="s">
        <v>115</v>
      </c>
      <c r="D23" s="53" t="s">
        <v>117</v>
      </c>
      <c r="E23" s="52" t="s">
        <v>116</v>
      </c>
      <c r="F23" s="52">
        <v>5</v>
      </c>
      <c r="G23" s="52">
        <v>50</v>
      </c>
      <c r="H23" s="52">
        <f>H22*2</f>
        <v>8</v>
      </c>
      <c r="I23" s="66">
        <f t="shared" si="0"/>
        <v>8</v>
      </c>
      <c r="J23" s="58" t="s">
        <v>91</v>
      </c>
      <c r="K23" s="58" t="s">
        <v>37</v>
      </c>
      <c r="L23" s="58" t="s">
        <v>37</v>
      </c>
    </row>
    <row r="24" spans="1:12" s="47" customFormat="1" x14ac:dyDescent="0.25">
      <c r="A24" s="52">
        <v>22</v>
      </c>
      <c r="B24" s="53" t="s">
        <v>118</v>
      </c>
      <c r="C24" s="53" t="s">
        <v>37</v>
      </c>
      <c r="D24" s="53" t="s">
        <v>37</v>
      </c>
      <c r="E24" s="52">
        <v>6</v>
      </c>
      <c r="F24" s="52">
        <v>40</v>
      </c>
      <c r="G24" s="52" t="s">
        <v>37</v>
      </c>
      <c r="H24" s="52">
        <f>H23</f>
        <v>8</v>
      </c>
      <c r="I24" s="66">
        <f t="shared" si="0"/>
        <v>8</v>
      </c>
      <c r="J24" s="58" t="s">
        <v>91</v>
      </c>
      <c r="K24" s="58" t="s">
        <v>37</v>
      </c>
      <c r="L24" s="58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8" sqref="B8"/>
    </sheetView>
  </sheetViews>
  <sheetFormatPr defaultRowHeight="12.75" x14ac:dyDescent="0.25"/>
  <cols>
    <col min="1" max="1" width="4.140625" style="136" bestFit="1" customWidth="1"/>
    <col min="2" max="2" width="30.42578125" style="136" bestFit="1" customWidth="1"/>
    <col min="3" max="3" width="10" style="136" bestFit="1" customWidth="1"/>
    <col min="4" max="4" width="20.42578125" style="136" bestFit="1" customWidth="1"/>
    <col min="5" max="5" width="8.140625" style="136" bestFit="1" customWidth="1"/>
    <col min="6" max="6" width="10" style="136" bestFit="1" customWidth="1"/>
    <col min="7" max="7" width="7.42578125" style="136" bestFit="1" customWidth="1"/>
    <col min="8" max="8" width="4.140625" style="136" bestFit="1" customWidth="1"/>
    <col min="9" max="16384" width="9.140625" style="136"/>
  </cols>
  <sheetData>
    <row r="1" spans="1:8" x14ac:dyDescent="0.25">
      <c r="A1" s="120" t="s">
        <v>0</v>
      </c>
      <c r="B1" s="120" t="s">
        <v>13</v>
      </c>
      <c r="C1" s="120" t="s">
        <v>171</v>
      </c>
      <c r="D1" s="121" t="s">
        <v>172</v>
      </c>
      <c r="E1" s="121" t="s">
        <v>173</v>
      </c>
      <c r="F1" s="122" t="s">
        <v>174</v>
      </c>
      <c r="G1" s="123" t="s">
        <v>175</v>
      </c>
      <c r="H1" s="120" t="s">
        <v>80</v>
      </c>
    </row>
    <row r="2" spans="1:8" x14ac:dyDescent="0.25">
      <c r="A2" s="124"/>
      <c r="B2" s="124" t="s">
        <v>177</v>
      </c>
      <c r="C2" s="124" t="s">
        <v>176</v>
      </c>
      <c r="D2" s="124"/>
      <c r="E2" s="124"/>
      <c r="F2" s="125"/>
      <c r="G2" s="126"/>
      <c r="H2" s="124"/>
    </row>
    <row r="3" spans="1:8" x14ac:dyDescent="0.25">
      <c r="A3" s="129"/>
      <c r="B3" s="129" t="s">
        <v>241</v>
      </c>
      <c r="C3" s="130" t="s">
        <v>239</v>
      </c>
      <c r="D3" s="129"/>
      <c r="E3" s="129"/>
      <c r="F3" s="130"/>
      <c r="G3" s="131"/>
      <c r="H3" s="129"/>
    </row>
    <row r="4" spans="1:8" x14ac:dyDescent="0.25">
      <c r="A4" s="127"/>
      <c r="B4" s="127" t="s">
        <v>31</v>
      </c>
      <c r="C4" s="127" t="s">
        <v>182</v>
      </c>
      <c r="D4" s="127" t="s">
        <v>211</v>
      </c>
      <c r="E4" s="127" t="s">
        <v>64</v>
      </c>
      <c r="F4" s="127">
        <v>140150100</v>
      </c>
      <c r="G4" s="132">
        <f>'El MTO'!O3</f>
        <v>13.098510000000001</v>
      </c>
      <c r="H4" s="127" t="s">
        <v>238</v>
      </c>
    </row>
    <row r="5" spans="1:8" x14ac:dyDescent="0.25">
      <c r="A5" s="127"/>
      <c r="B5" s="127" t="s">
        <v>32</v>
      </c>
      <c r="C5" s="127" t="s">
        <v>183</v>
      </c>
      <c r="D5" s="127" t="s">
        <v>211</v>
      </c>
      <c r="E5" s="127" t="s">
        <v>64</v>
      </c>
      <c r="F5" s="127">
        <v>140150100</v>
      </c>
      <c r="G5" s="132">
        <f>'El MTO'!O4</f>
        <v>22.121928000000004</v>
      </c>
      <c r="H5" s="127" t="s">
        <v>238</v>
      </c>
    </row>
    <row r="6" spans="1:8" x14ac:dyDescent="0.25">
      <c r="A6" s="127"/>
      <c r="B6" s="127" t="s">
        <v>18</v>
      </c>
      <c r="C6" s="127" t="s">
        <v>184</v>
      </c>
      <c r="D6" s="127" t="s">
        <v>211</v>
      </c>
      <c r="E6" s="127" t="s">
        <v>64</v>
      </c>
      <c r="F6" s="127">
        <v>140150100</v>
      </c>
      <c r="G6" s="132">
        <f>'El MTO'!O5</f>
        <v>5.8367203125000007</v>
      </c>
      <c r="H6" s="127" t="s">
        <v>238</v>
      </c>
    </row>
    <row r="7" spans="1:8" x14ac:dyDescent="0.25">
      <c r="A7" s="127"/>
      <c r="B7" s="127" t="s">
        <v>144</v>
      </c>
      <c r="C7" s="127" t="s">
        <v>178</v>
      </c>
      <c r="D7" s="127" t="s">
        <v>212</v>
      </c>
      <c r="E7" s="127" t="s">
        <v>64</v>
      </c>
      <c r="F7" s="127" t="s">
        <v>178</v>
      </c>
      <c r="G7" s="132">
        <f>'El MTO'!O6</f>
        <v>28</v>
      </c>
      <c r="H7" s="127" t="s">
        <v>91</v>
      </c>
    </row>
    <row r="8" spans="1:8" x14ac:dyDescent="0.25">
      <c r="A8" s="127"/>
      <c r="B8" s="127" t="s">
        <v>145</v>
      </c>
      <c r="C8" s="127" t="s">
        <v>179</v>
      </c>
      <c r="D8" s="127" t="s">
        <v>213</v>
      </c>
      <c r="E8" s="127" t="s">
        <v>64</v>
      </c>
      <c r="F8" s="127" t="s">
        <v>179</v>
      </c>
      <c r="G8" s="132">
        <f>'El MTO'!O7</f>
        <v>28</v>
      </c>
      <c r="H8" s="127" t="s">
        <v>91</v>
      </c>
    </row>
    <row r="9" spans="1:8" x14ac:dyDescent="0.25">
      <c r="A9" s="127"/>
      <c r="B9" s="127" t="s">
        <v>16</v>
      </c>
      <c r="C9" s="127" t="s">
        <v>185</v>
      </c>
      <c r="D9" s="127" t="s">
        <v>211</v>
      </c>
      <c r="E9" s="127" t="s">
        <v>64</v>
      </c>
      <c r="F9" s="127">
        <v>140150100</v>
      </c>
      <c r="G9" s="132">
        <f>'El MTO'!O9</f>
        <v>24.712522200000002</v>
      </c>
      <c r="H9" s="127" t="s">
        <v>238</v>
      </c>
    </row>
    <row r="10" spans="1:8" x14ac:dyDescent="0.25">
      <c r="A10" s="127"/>
      <c r="B10" s="127" t="s">
        <v>17</v>
      </c>
      <c r="C10" s="127" t="s">
        <v>186</v>
      </c>
      <c r="D10" s="127" t="s">
        <v>211</v>
      </c>
      <c r="E10" s="127" t="s">
        <v>64</v>
      </c>
      <c r="F10" s="127">
        <v>140150100</v>
      </c>
      <c r="G10" s="132">
        <f>'El MTO'!O10</f>
        <v>6.5492550000000005</v>
      </c>
      <c r="H10" s="127" t="s">
        <v>238</v>
      </c>
    </row>
    <row r="11" spans="1:8" x14ac:dyDescent="0.25">
      <c r="A11" s="127"/>
      <c r="B11" s="127" t="s">
        <v>33</v>
      </c>
      <c r="C11" s="127" t="s">
        <v>187</v>
      </c>
      <c r="D11" s="127" t="s">
        <v>211</v>
      </c>
      <c r="E11" s="127" t="s">
        <v>64</v>
      </c>
      <c r="F11" s="127">
        <v>140150100</v>
      </c>
      <c r="G11" s="132">
        <f>'El MTO'!O12</f>
        <v>21.830850000000002</v>
      </c>
      <c r="H11" s="127" t="s">
        <v>238</v>
      </c>
    </row>
    <row r="12" spans="1:8" x14ac:dyDescent="0.25">
      <c r="A12" s="127"/>
      <c r="B12" s="127" t="s">
        <v>34</v>
      </c>
      <c r="C12" s="127" t="s">
        <v>188</v>
      </c>
      <c r="D12" s="127" t="s">
        <v>211</v>
      </c>
      <c r="E12" s="127" t="s">
        <v>64</v>
      </c>
      <c r="F12" s="127">
        <v>140150100</v>
      </c>
      <c r="G12" s="132">
        <f>'El MTO'!O13</f>
        <v>36.869880000000002</v>
      </c>
      <c r="H12" s="127" t="s">
        <v>238</v>
      </c>
    </row>
    <row r="13" spans="1:8" x14ac:dyDescent="0.25">
      <c r="A13" s="127"/>
      <c r="B13" s="127" t="s">
        <v>35</v>
      </c>
      <c r="C13" s="127" t="s">
        <v>189</v>
      </c>
      <c r="D13" s="127" t="s">
        <v>211</v>
      </c>
      <c r="E13" s="127" t="s">
        <v>64</v>
      </c>
      <c r="F13" s="127">
        <v>140150100</v>
      </c>
      <c r="G13" s="132">
        <f>'El MTO'!O14</f>
        <v>3.88104</v>
      </c>
      <c r="H13" s="127" t="s">
        <v>238</v>
      </c>
    </row>
    <row r="14" spans="1:8" x14ac:dyDescent="0.25">
      <c r="A14" s="127"/>
      <c r="B14" s="127" t="s">
        <v>148</v>
      </c>
      <c r="C14" s="127" t="s">
        <v>180</v>
      </c>
      <c r="D14" s="127" t="s">
        <v>214</v>
      </c>
      <c r="E14" s="127" t="s">
        <v>64</v>
      </c>
      <c r="F14" s="127" t="s">
        <v>180</v>
      </c>
      <c r="G14" s="132">
        <f>'El MTO'!O15</f>
        <v>64</v>
      </c>
      <c r="H14" s="127" t="s">
        <v>91</v>
      </c>
    </row>
    <row r="15" spans="1:8" x14ac:dyDescent="0.25">
      <c r="A15" s="127"/>
      <c r="B15" s="127" t="s">
        <v>149</v>
      </c>
      <c r="C15" s="127" t="s">
        <v>181</v>
      </c>
      <c r="D15" s="127" t="s">
        <v>215</v>
      </c>
      <c r="E15" s="127" t="s">
        <v>64</v>
      </c>
      <c r="F15" s="127" t="s">
        <v>181</v>
      </c>
      <c r="G15" s="132">
        <f>'El MTO'!O16</f>
        <v>64</v>
      </c>
      <c r="H15" s="127" t="s">
        <v>91</v>
      </c>
    </row>
    <row r="16" spans="1:8" x14ac:dyDescent="0.25">
      <c r="A16" s="127"/>
      <c r="B16" s="127" t="s">
        <v>164</v>
      </c>
      <c r="C16" s="127" t="s">
        <v>190</v>
      </c>
      <c r="D16" s="127" t="s">
        <v>216</v>
      </c>
      <c r="E16" s="127" t="s">
        <v>217</v>
      </c>
      <c r="F16" s="127">
        <v>271100021</v>
      </c>
      <c r="G16" s="132">
        <f>'El MTO'!O17</f>
        <v>1.28</v>
      </c>
      <c r="H16" s="127" t="s">
        <v>238</v>
      </c>
    </row>
    <row r="17" spans="1:8" x14ac:dyDescent="0.25">
      <c r="A17" s="127"/>
      <c r="B17" s="127" t="s">
        <v>165</v>
      </c>
      <c r="C17" s="127" t="s">
        <v>191</v>
      </c>
      <c r="D17" s="127" t="s">
        <v>218</v>
      </c>
      <c r="E17" s="127" t="s">
        <v>217</v>
      </c>
      <c r="F17" s="127">
        <v>130500125</v>
      </c>
      <c r="G17" s="132">
        <f>'El MTO'!O18</f>
        <v>1.32</v>
      </c>
      <c r="H17" s="127" t="s">
        <v>238</v>
      </c>
    </row>
    <row r="18" spans="1:8" x14ac:dyDescent="0.25">
      <c r="A18" s="127"/>
      <c r="B18" s="127" t="s">
        <v>161</v>
      </c>
      <c r="C18" s="127" t="s">
        <v>192</v>
      </c>
      <c r="D18" s="127" t="s">
        <v>219</v>
      </c>
      <c r="E18" s="127" t="s">
        <v>64</v>
      </c>
      <c r="F18" s="127">
        <v>278100009</v>
      </c>
      <c r="G18" s="132">
        <f>'El MTO'!O19</f>
        <v>0.56000000000000005</v>
      </c>
      <c r="H18" s="127" t="s">
        <v>238</v>
      </c>
    </row>
    <row r="19" spans="1:8" x14ac:dyDescent="0.25">
      <c r="A19" s="127"/>
      <c r="B19" s="127" t="s">
        <v>168</v>
      </c>
      <c r="C19" s="127" t="s">
        <v>193</v>
      </c>
      <c r="D19" s="127" t="s">
        <v>220</v>
      </c>
      <c r="E19" s="127" t="s">
        <v>221</v>
      </c>
      <c r="F19" s="127" t="s">
        <v>236</v>
      </c>
      <c r="G19" s="132">
        <f>'El MTO'!O20</f>
        <v>5</v>
      </c>
      <c r="H19" s="127" t="s">
        <v>123</v>
      </c>
    </row>
    <row r="20" spans="1:8" x14ac:dyDescent="0.25">
      <c r="A20" s="127"/>
      <c r="B20" s="127" t="s">
        <v>169</v>
      </c>
      <c r="C20" s="127" t="s">
        <v>194</v>
      </c>
      <c r="D20" s="127" t="s">
        <v>222</v>
      </c>
      <c r="E20" s="127" t="s">
        <v>221</v>
      </c>
      <c r="F20" s="127" t="s">
        <v>237</v>
      </c>
      <c r="G20" s="132">
        <f>'El MTO'!O21</f>
        <v>5</v>
      </c>
      <c r="H20" s="127" t="s">
        <v>123</v>
      </c>
    </row>
    <row r="21" spans="1:8" x14ac:dyDescent="0.25">
      <c r="A21" s="127"/>
      <c r="B21" s="127" t="s">
        <v>29</v>
      </c>
      <c r="C21" s="127" t="s">
        <v>202</v>
      </c>
      <c r="D21" s="127" t="s">
        <v>211</v>
      </c>
      <c r="E21" s="127" t="s">
        <v>64</v>
      </c>
      <c r="F21" s="127">
        <v>140150100</v>
      </c>
      <c r="G21" s="132">
        <f>'El MTO'!O23</f>
        <v>6.2373857142857148</v>
      </c>
      <c r="H21" s="127" t="s">
        <v>238</v>
      </c>
    </row>
    <row r="22" spans="1:8" x14ac:dyDescent="0.25">
      <c r="A22" s="127"/>
      <c r="B22" s="127" t="s">
        <v>30</v>
      </c>
      <c r="C22" s="127" t="s">
        <v>203</v>
      </c>
      <c r="D22" s="127" t="s">
        <v>211</v>
      </c>
      <c r="E22" s="127" t="s">
        <v>64</v>
      </c>
      <c r="F22" s="127">
        <v>140150100</v>
      </c>
      <c r="G22" s="132">
        <f>'El MTO'!O24</f>
        <v>10.534251428571428</v>
      </c>
      <c r="H22" s="127" t="s">
        <v>238</v>
      </c>
    </row>
    <row r="23" spans="1:8" x14ac:dyDescent="0.25">
      <c r="A23" s="127"/>
      <c r="B23" s="127" t="s">
        <v>15</v>
      </c>
      <c r="C23" s="127" t="s">
        <v>204</v>
      </c>
      <c r="D23" s="127" t="s">
        <v>211</v>
      </c>
      <c r="E23" s="127" t="s">
        <v>64</v>
      </c>
      <c r="F23" s="127">
        <v>140150100</v>
      </c>
      <c r="G23" s="132">
        <f>'El MTO'!O25</f>
        <v>23.994529800000002</v>
      </c>
      <c r="H23" s="127" t="s">
        <v>238</v>
      </c>
    </row>
    <row r="24" spans="1:8" x14ac:dyDescent="0.25">
      <c r="A24" s="127"/>
      <c r="B24" s="127" t="s">
        <v>45</v>
      </c>
      <c r="C24" s="127" t="s">
        <v>205</v>
      </c>
      <c r="D24" s="127" t="s">
        <v>211</v>
      </c>
      <c r="E24" s="127" t="s">
        <v>64</v>
      </c>
      <c r="F24" s="127">
        <v>140150100</v>
      </c>
      <c r="G24" s="132">
        <f>'El MTO'!O26</f>
        <v>59.986324500000002</v>
      </c>
      <c r="H24" s="127" t="s">
        <v>238</v>
      </c>
    </row>
    <row r="25" spans="1:8" x14ac:dyDescent="0.25">
      <c r="A25" s="127"/>
      <c r="B25" s="127" t="s">
        <v>48</v>
      </c>
      <c r="C25" s="127" t="s">
        <v>206</v>
      </c>
      <c r="D25" s="127" t="s">
        <v>223</v>
      </c>
      <c r="E25" s="127" t="s">
        <v>64</v>
      </c>
      <c r="F25" s="127">
        <v>140200100</v>
      </c>
      <c r="G25" s="132">
        <f>'El MTO'!O27</f>
        <v>0.36384749999999999</v>
      </c>
      <c r="H25" s="127" t="s">
        <v>238</v>
      </c>
    </row>
    <row r="26" spans="1:8" x14ac:dyDescent="0.25">
      <c r="A26" s="127"/>
      <c r="B26" s="127" t="s">
        <v>47</v>
      </c>
      <c r="C26" s="127" t="s">
        <v>207</v>
      </c>
      <c r="D26" s="127" t="s">
        <v>223</v>
      </c>
      <c r="E26" s="127" t="s">
        <v>64</v>
      </c>
      <c r="F26" s="127">
        <v>140200100</v>
      </c>
      <c r="G26" s="132">
        <f>'El MTO'!O28</f>
        <v>0.97026000000000001</v>
      </c>
      <c r="H26" s="127" t="s">
        <v>238</v>
      </c>
    </row>
    <row r="27" spans="1:8" x14ac:dyDescent="0.25">
      <c r="A27" s="127"/>
      <c r="B27" s="127" t="s">
        <v>46</v>
      </c>
      <c r="C27" s="127" t="s">
        <v>208</v>
      </c>
      <c r="D27" s="127" t="s">
        <v>223</v>
      </c>
      <c r="E27" s="127" t="s">
        <v>64</v>
      </c>
      <c r="F27" s="127">
        <v>140200100</v>
      </c>
      <c r="G27" s="132">
        <f>'El MTO'!O29</f>
        <v>0.79507416666666675</v>
      </c>
      <c r="H27" s="127" t="s">
        <v>238</v>
      </c>
    </row>
    <row r="28" spans="1:8" x14ac:dyDescent="0.25">
      <c r="A28" s="127"/>
      <c r="B28" s="127" t="s">
        <v>144</v>
      </c>
      <c r="C28" s="127" t="s">
        <v>178</v>
      </c>
      <c r="D28" s="127" t="s">
        <v>212</v>
      </c>
      <c r="E28" s="127" t="s">
        <v>64</v>
      </c>
      <c r="F28" s="127" t="s">
        <v>178</v>
      </c>
      <c r="G28" s="132">
        <f>'El MTO'!O30</f>
        <v>90</v>
      </c>
      <c r="H28" s="127" t="s">
        <v>91</v>
      </c>
    </row>
    <row r="29" spans="1:8" x14ac:dyDescent="0.25">
      <c r="A29" s="127"/>
      <c r="B29" s="127" t="s">
        <v>145</v>
      </c>
      <c r="C29" s="127" t="s">
        <v>179</v>
      </c>
      <c r="D29" s="127" t="s">
        <v>213</v>
      </c>
      <c r="E29" s="127" t="s">
        <v>64</v>
      </c>
      <c r="F29" s="127" t="s">
        <v>179</v>
      </c>
      <c r="G29" s="132">
        <f>'El MTO'!O31</f>
        <v>120</v>
      </c>
      <c r="H29" s="127" t="s">
        <v>91</v>
      </c>
    </row>
    <row r="30" spans="1:8" x14ac:dyDescent="0.25">
      <c r="A30" s="127"/>
      <c r="B30" s="127" t="s">
        <v>160</v>
      </c>
      <c r="C30" s="127" t="s">
        <v>195</v>
      </c>
      <c r="D30" s="127" t="s">
        <v>224</v>
      </c>
      <c r="E30" s="127" t="s">
        <v>64</v>
      </c>
      <c r="F30" s="127" t="s">
        <v>195</v>
      </c>
      <c r="G30" s="132">
        <f>'El MTO'!O32</f>
        <v>12</v>
      </c>
      <c r="H30" s="127" t="s">
        <v>91</v>
      </c>
    </row>
    <row r="31" spans="1:8" x14ac:dyDescent="0.25">
      <c r="A31" s="127"/>
      <c r="B31" s="127" t="s">
        <v>148</v>
      </c>
      <c r="C31" s="127" t="s">
        <v>180</v>
      </c>
      <c r="D31" s="127" t="s">
        <v>214</v>
      </c>
      <c r="E31" s="127" t="s">
        <v>64</v>
      </c>
      <c r="F31" s="127" t="s">
        <v>180</v>
      </c>
      <c r="G31" s="132">
        <f>'El MTO'!O33</f>
        <v>64</v>
      </c>
      <c r="H31" s="127" t="s">
        <v>91</v>
      </c>
    </row>
    <row r="32" spans="1:8" x14ac:dyDescent="0.25">
      <c r="A32" s="127"/>
      <c r="B32" s="127" t="s">
        <v>149</v>
      </c>
      <c r="C32" s="127" t="s">
        <v>181</v>
      </c>
      <c r="D32" s="127" t="s">
        <v>215</v>
      </c>
      <c r="E32" s="127" t="s">
        <v>64</v>
      </c>
      <c r="F32" s="127" t="s">
        <v>181</v>
      </c>
      <c r="G32" s="132">
        <f>'El MTO'!O34</f>
        <v>76</v>
      </c>
      <c r="H32" s="127" t="s">
        <v>91</v>
      </c>
    </row>
    <row r="33" spans="1:8" x14ac:dyDescent="0.25">
      <c r="A33" s="127"/>
      <c r="B33" s="127" t="s">
        <v>150</v>
      </c>
      <c r="C33" s="127" t="s">
        <v>196</v>
      </c>
      <c r="D33" s="127" t="s">
        <v>225</v>
      </c>
      <c r="E33" s="127" t="s">
        <v>64</v>
      </c>
      <c r="F33" s="127" t="s">
        <v>196</v>
      </c>
      <c r="G33" s="132">
        <f>'El MTO'!O35</f>
        <v>27</v>
      </c>
      <c r="H33" s="127" t="s">
        <v>91</v>
      </c>
    </row>
    <row r="34" spans="1:8" x14ac:dyDescent="0.25">
      <c r="A34" s="127"/>
      <c r="B34" s="127" t="s">
        <v>151</v>
      </c>
      <c r="C34" s="127" t="s">
        <v>197</v>
      </c>
      <c r="D34" s="127" t="s">
        <v>226</v>
      </c>
      <c r="E34" s="127" t="s">
        <v>114</v>
      </c>
      <c r="F34" s="127" t="s">
        <v>197</v>
      </c>
      <c r="G34" s="132">
        <f>'El MTO'!O36</f>
        <v>27</v>
      </c>
      <c r="H34" s="127" t="s">
        <v>91</v>
      </c>
    </row>
    <row r="35" spans="1:8" x14ac:dyDescent="0.25">
      <c r="A35" s="128"/>
      <c r="B35" s="128" t="s">
        <v>240</v>
      </c>
      <c r="C35" s="128" t="s">
        <v>209</v>
      </c>
      <c r="D35" s="128"/>
      <c r="E35" s="128"/>
      <c r="F35" s="128"/>
      <c r="G35" s="128"/>
      <c r="H35" s="128"/>
    </row>
    <row r="36" spans="1:8" x14ac:dyDescent="0.25">
      <c r="A36" s="127"/>
      <c r="B36" s="127" t="s">
        <v>19</v>
      </c>
      <c r="C36" s="127" t="s">
        <v>210</v>
      </c>
      <c r="D36" s="127" t="s">
        <v>227</v>
      </c>
      <c r="E36" s="127" t="s">
        <v>36</v>
      </c>
      <c r="F36" s="127">
        <v>299170000</v>
      </c>
      <c r="G36" s="132">
        <f>'El MTO'!O38</f>
        <v>493.42604991304358</v>
      </c>
      <c r="H36" s="127" t="s">
        <v>238</v>
      </c>
    </row>
    <row r="37" spans="1:8" x14ac:dyDescent="0.25">
      <c r="A37" s="127"/>
      <c r="B37" s="127" t="s">
        <v>20</v>
      </c>
      <c r="C37" s="127" t="s">
        <v>198</v>
      </c>
      <c r="D37" s="127" t="s">
        <v>228</v>
      </c>
      <c r="E37" s="127" t="s">
        <v>229</v>
      </c>
      <c r="F37" s="127" t="s">
        <v>198</v>
      </c>
      <c r="G37" s="132">
        <f>'El MTO'!O39</f>
        <v>512</v>
      </c>
      <c r="H37" s="127" t="s">
        <v>91</v>
      </c>
    </row>
    <row r="38" spans="1:8" x14ac:dyDescent="0.25">
      <c r="A38" s="127"/>
      <c r="B38" s="127" t="s">
        <v>21</v>
      </c>
      <c r="C38" s="127" t="s">
        <v>199</v>
      </c>
      <c r="D38" s="127" t="s">
        <v>230</v>
      </c>
      <c r="E38" s="127" t="s">
        <v>64</v>
      </c>
      <c r="F38" s="127" t="s">
        <v>199</v>
      </c>
      <c r="G38" s="132">
        <f>'El MTO'!O40</f>
        <v>512</v>
      </c>
      <c r="H38" s="127" t="s">
        <v>91</v>
      </c>
    </row>
    <row r="39" spans="1:8" x14ac:dyDescent="0.25">
      <c r="A39" s="127"/>
      <c r="B39" s="127" t="s">
        <v>42</v>
      </c>
      <c r="C39" s="127" t="s">
        <v>200</v>
      </c>
      <c r="D39" s="127" t="s">
        <v>231</v>
      </c>
      <c r="E39" s="127" t="s">
        <v>232</v>
      </c>
      <c r="F39" s="127" t="s">
        <v>200</v>
      </c>
      <c r="G39" s="132">
        <f>'El MTO'!O41</f>
        <v>512</v>
      </c>
      <c r="H39" s="127" t="s">
        <v>91</v>
      </c>
    </row>
    <row r="40" spans="1:8" x14ac:dyDescent="0.25">
      <c r="A40" s="127"/>
      <c r="B40" s="127" t="s">
        <v>22</v>
      </c>
      <c r="C40" s="127" t="s">
        <v>201</v>
      </c>
      <c r="D40" s="127" t="s">
        <v>233</v>
      </c>
      <c r="E40" s="127" t="s">
        <v>234</v>
      </c>
      <c r="F40" s="127" t="s">
        <v>201</v>
      </c>
      <c r="G40" s="132">
        <f>'El MTO'!O42</f>
        <v>6627</v>
      </c>
      <c r="H40" s="127" t="s">
        <v>91</v>
      </c>
    </row>
    <row r="41" spans="1:8" x14ac:dyDescent="0.25">
      <c r="A41" s="127"/>
      <c r="B41" s="127" t="s">
        <v>23</v>
      </c>
      <c r="C41" s="127">
        <v>951200020</v>
      </c>
      <c r="D41" s="127" t="s">
        <v>235</v>
      </c>
      <c r="E41" s="127" t="s">
        <v>234</v>
      </c>
      <c r="F41" s="127">
        <v>951200020</v>
      </c>
      <c r="G41" s="132">
        <f>'El MTO'!O43</f>
        <v>538</v>
      </c>
      <c r="H41" s="127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6" sqref="D16"/>
    </sheetView>
  </sheetViews>
  <sheetFormatPr defaultRowHeight="12.75" x14ac:dyDescent="0.25"/>
  <cols>
    <col min="1" max="1" width="22" style="136" bestFit="1" customWidth="1"/>
    <col min="2" max="2" width="9.140625" style="136"/>
    <col min="3" max="3" width="11.28515625" style="136" bestFit="1" customWidth="1"/>
    <col min="4" max="4" width="4.140625" style="136" bestFit="1" customWidth="1"/>
    <col min="5" max="5" width="11.28515625" style="136" bestFit="1" customWidth="1"/>
    <col min="6" max="16384" width="9.140625" style="136"/>
  </cols>
  <sheetData>
    <row r="1" spans="1:5" x14ac:dyDescent="0.25">
      <c r="A1" s="127" t="s">
        <v>172</v>
      </c>
      <c r="B1" s="127" t="s">
        <v>173</v>
      </c>
      <c r="C1" s="127" t="s">
        <v>174</v>
      </c>
      <c r="D1" s="127" t="s">
        <v>80</v>
      </c>
      <c r="E1" s="127" t="s">
        <v>413</v>
      </c>
    </row>
    <row r="2" spans="1:5" x14ac:dyDescent="0.25">
      <c r="A2" s="127" t="s">
        <v>214</v>
      </c>
      <c r="B2" s="127" t="s">
        <v>64</v>
      </c>
      <c r="C2" s="127" t="s">
        <v>180</v>
      </c>
      <c r="D2" s="127" t="s">
        <v>91</v>
      </c>
      <c r="E2" s="127"/>
    </row>
    <row r="3" spans="1:5" x14ac:dyDescent="0.25">
      <c r="A3" s="127" t="s">
        <v>224</v>
      </c>
      <c r="B3" s="127" t="s">
        <v>64</v>
      </c>
      <c r="C3" s="127" t="s">
        <v>195</v>
      </c>
      <c r="D3" s="127" t="s">
        <v>91</v>
      </c>
      <c r="E3" s="127"/>
    </row>
    <row r="4" spans="1:5" x14ac:dyDescent="0.25">
      <c r="A4" s="127" t="s">
        <v>212</v>
      </c>
      <c r="B4" s="127" t="s">
        <v>64</v>
      </c>
      <c r="C4" s="127" t="s">
        <v>178</v>
      </c>
      <c r="D4" s="127" t="s">
        <v>91</v>
      </c>
      <c r="E4" s="127"/>
    </row>
    <row r="5" spans="1:5" x14ac:dyDescent="0.25">
      <c r="A5" s="127" t="s">
        <v>225</v>
      </c>
      <c r="B5" s="127" t="s">
        <v>64</v>
      </c>
      <c r="C5" s="127" t="s">
        <v>196</v>
      </c>
      <c r="D5" s="127" t="s">
        <v>91</v>
      </c>
      <c r="E5" s="127"/>
    </row>
    <row r="6" spans="1:5" x14ac:dyDescent="0.25">
      <c r="A6" s="127" t="s">
        <v>226</v>
      </c>
      <c r="B6" s="127" t="s">
        <v>114</v>
      </c>
      <c r="C6" s="127" t="s">
        <v>197</v>
      </c>
      <c r="D6" s="127" t="s">
        <v>91</v>
      </c>
      <c r="E6" s="127"/>
    </row>
    <row r="7" spans="1:5" x14ac:dyDescent="0.25">
      <c r="A7" s="127" t="s">
        <v>235</v>
      </c>
      <c r="B7" s="127" t="s">
        <v>234</v>
      </c>
      <c r="C7" s="127">
        <v>951200020</v>
      </c>
      <c r="D7" s="127" t="s">
        <v>91</v>
      </c>
      <c r="E7" s="127"/>
    </row>
    <row r="8" spans="1:5" x14ac:dyDescent="0.25">
      <c r="A8" s="127" t="s">
        <v>233</v>
      </c>
      <c r="B8" s="127" t="s">
        <v>234</v>
      </c>
      <c r="C8" s="127" t="s">
        <v>201</v>
      </c>
      <c r="D8" s="127" t="s">
        <v>91</v>
      </c>
      <c r="E8" s="127"/>
    </row>
    <row r="9" spans="1:5" x14ac:dyDescent="0.25">
      <c r="A9" s="127" t="s">
        <v>219</v>
      </c>
      <c r="B9" s="127" t="s">
        <v>64</v>
      </c>
      <c r="C9" s="127">
        <v>278100009</v>
      </c>
      <c r="D9" s="127" t="s">
        <v>238</v>
      </c>
      <c r="E9" s="127"/>
    </row>
    <row r="10" spans="1:5" x14ac:dyDescent="0.25">
      <c r="A10" s="127" t="s">
        <v>216</v>
      </c>
      <c r="B10" s="127" t="s">
        <v>217</v>
      </c>
      <c r="C10" s="127">
        <v>271100021</v>
      </c>
      <c r="D10" s="127" t="s">
        <v>238</v>
      </c>
      <c r="E10" s="127"/>
    </row>
    <row r="11" spans="1:5" x14ac:dyDescent="0.25">
      <c r="A11" s="127" t="s">
        <v>222</v>
      </c>
      <c r="B11" s="127" t="s">
        <v>221</v>
      </c>
      <c r="C11" s="127" t="s">
        <v>237</v>
      </c>
      <c r="D11" s="127" t="s">
        <v>123</v>
      </c>
      <c r="E11" s="127"/>
    </row>
    <row r="12" spans="1:5" x14ac:dyDescent="0.25">
      <c r="A12" s="127" t="s">
        <v>220</v>
      </c>
      <c r="B12" s="127" t="s">
        <v>221</v>
      </c>
      <c r="C12" s="127" t="s">
        <v>236</v>
      </c>
      <c r="D12" s="127" t="s">
        <v>123</v>
      </c>
      <c r="E12" s="127"/>
    </row>
    <row r="13" spans="1:5" x14ac:dyDescent="0.25">
      <c r="A13" s="127" t="s">
        <v>228</v>
      </c>
      <c r="B13" s="127" t="s">
        <v>229</v>
      </c>
      <c r="C13" s="127" t="s">
        <v>198</v>
      </c>
      <c r="D13" s="127" t="s">
        <v>91</v>
      </c>
      <c r="E13" s="127"/>
    </row>
    <row r="14" spans="1:5" x14ac:dyDescent="0.25">
      <c r="A14" s="127" t="s">
        <v>230</v>
      </c>
      <c r="B14" s="127" t="s">
        <v>64</v>
      </c>
      <c r="C14" s="127" t="s">
        <v>199</v>
      </c>
      <c r="D14" s="127" t="s">
        <v>91</v>
      </c>
      <c r="E14" s="127"/>
    </row>
    <row r="15" spans="1:5" x14ac:dyDescent="0.25">
      <c r="A15" s="127" t="s">
        <v>215</v>
      </c>
      <c r="B15" s="127" t="s">
        <v>64</v>
      </c>
      <c r="C15" s="127" t="s">
        <v>181</v>
      </c>
      <c r="D15" s="127" t="s">
        <v>91</v>
      </c>
      <c r="E15" s="127"/>
    </row>
    <row r="16" spans="1:5" x14ac:dyDescent="0.25">
      <c r="A16" s="127" t="s">
        <v>213</v>
      </c>
      <c r="B16" s="127" t="s">
        <v>64</v>
      </c>
      <c r="C16" s="127" t="s">
        <v>179</v>
      </c>
      <c r="D16" s="127" t="s">
        <v>91</v>
      </c>
      <c r="E16" s="127"/>
    </row>
    <row r="17" spans="1:5" x14ac:dyDescent="0.25">
      <c r="A17" s="127" t="s">
        <v>227</v>
      </c>
      <c r="B17" s="127" t="s">
        <v>36</v>
      </c>
      <c r="C17" s="127">
        <v>299170000</v>
      </c>
      <c r="D17" s="127" t="s">
        <v>238</v>
      </c>
      <c r="E17" s="127"/>
    </row>
    <row r="18" spans="1:5" x14ac:dyDescent="0.25">
      <c r="A18" s="127" t="s">
        <v>231</v>
      </c>
      <c r="B18" s="127" t="s">
        <v>232</v>
      </c>
      <c r="C18" s="127" t="s">
        <v>200</v>
      </c>
      <c r="D18" s="127" t="s">
        <v>91</v>
      </c>
      <c r="E18" s="127"/>
    </row>
    <row r="19" spans="1:5" x14ac:dyDescent="0.25">
      <c r="A19" s="127" t="s">
        <v>218</v>
      </c>
      <c r="B19" s="127" t="s">
        <v>217</v>
      </c>
      <c r="C19" s="127">
        <v>130500125</v>
      </c>
      <c r="D19" s="127" t="s">
        <v>238</v>
      </c>
      <c r="E19" s="127"/>
    </row>
    <row r="20" spans="1:5" x14ac:dyDescent="0.25">
      <c r="A20" s="127" t="s">
        <v>211</v>
      </c>
      <c r="B20" s="127" t="s">
        <v>64</v>
      </c>
      <c r="C20" s="127">
        <v>140150100</v>
      </c>
      <c r="D20" s="127" t="s">
        <v>238</v>
      </c>
      <c r="E20" s="127"/>
    </row>
    <row r="21" spans="1:5" x14ac:dyDescent="0.25">
      <c r="A21" s="127" t="s">
        <v>223</v>
      </c>
      <c r="B21" s="127" t="s">
        <v>64</v>
      </c>
      <c r="C21" s="127">
        <v>140200100</v>
      </c>
      <c r="D21" s="127" t="s">
        <v>238</v>
      </c>
      <c r="E21" s="1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7" sqref="D7"/>
    </sheetView>
  </sheetViews>
  <sheetFormatPr defaultRowHeight="12.75" x14ac:dyDescent="0.25"/>
  <cols>
    <col min="1" max="1" width="4.140625" style="136" bestFit="1" customWidth="1"/>
    <col min="2" max="2" width="30.42578125" style="136" bestFit="1" customWidth="1"/>
    <col min="3" max="3" width="10" style="136" bestFit="1" customWidth="1"/>
    <col min="4" max="4" width="20.42578125" style="136" bestFit="1" customWidth="1"/>
    <col min="5" max="5" width="8" style="136" bestFit="1" customWidth="1"/>
    <col min="6" max="6" width="10" style="136" bestFit="1" customWidth="1"/>
    <col min="7" max="7" width="7.42578125" style="137" bestFit="1" customWidth="1"/>
    <col min="8" max="8" width="4.140625" style="136" bestFit="1" customWidth="1"/>
    <col min="9" max="16384" width="9.140625" style="136"/>
  </cols>
  <sheetData>
    <row r="1" spans="1:8" x14ac:dyDescent="0.25">
      <c r="A1" s="120" t="s">
        <v>0</v>
      </c>
      <c r="B1" s="120" t="s">
        <v>13</v>
      </c>
      <c r="C1" s="120" t="s">
        <v>171</v>
      </c>
      <c r="D1" s="121" t="s">
        <v>172</v>
      </c>
      <c r="E1" s="121" t="s">
        <v>173</v>
      </c>
      <c r="F1" s="122" t="s">
        <v>174</v>
      </c>
      <c r="G1" s="123" t="s">
        <v>175</v>
      </c>
      <c r="H1" s="120" t="s">
        <v>80</v>
      </c>
    </row>
    <row r="2" spans="1:8" x14ac:dyDescent="0.25">
      <c r="A2" s="124"/>
      <c r="B2" s="124" t="s">
        <v>242</v>
      </c>
      <c r="C2" s="125" t="s">
        <v>244</v>
      </c>
      <c r="D2" s="124"/>
      <c r="E2" s="124"/>
      <c r="F2" s="125"/>
      <c r="G2" s="126"/>
      <c r="H2" s="124"/>
    </row>
    <row r="3" spans="1:8" x14ac:dyDescent="0.25">
      <c r="A3" s="129"/>
      <c r="B3" s="129" t="s">
        <v>243</v>
      </c>
      <c r="C3" s="130" t="s">
        <v>245</v>
      </c>
      <c r="D3" s="129"/>
      <c r="E3" s="129"/>
      <c r="F3" s="130"/>
      <c r="G3" s="131"/>
      <c r="H3" s="129"/>
    </row>
    <row r="4" spans="1:8" x14ac:dyDescent="0.25">
      <c r="A4" s="127"/>
      <c r="B4" s="127" t="s">
        <v>246</v>
      </c>
      <c r="C4" s="127" t="s">
        <v>261</v>
      </c>
      <c r="D4" s="127" t="s">
        <v>211</v>
      </c>
      <c r="E4" s="127" t="s">
        <v>64</v>
      </c>
      <c r="F4" s="127">
        <v>140150100</v>
      </c>
      <c r="G4" s="132">
        <f>'AB MTO'!N4</f>
        <v>4.3972183200000003</v>
      </c>
      <c r="H4" s="127" t="s">
        <v>238</v>
      </c>
    </row>
    <row r="5" spans="1:8" x14ac:dyDescent="0.25">
      <c r="A5" s="127"/>
      <c r="B5" s="127" t="s">
        <v>247</v>
      </c>
      <c r="C5" s="127" t="s">
        <v>262</v>
      </c>
      <c r="D5" s="127" t="s">
        <v>211</v>
      </c>
      <c r="E5" s="127" t="s">
        <v>64</v>
      </c>
      <c r="F5" s="127">
        <v>140150100</v>
      </c>
      <c r="G5" s="132">
        <f>'AB MTO'!N5</f>
        <v>8.7801932231999995</v>
      </c>
      <c r="H5" s="127" t="s">
        <v>238</v>
      </c>
    </row>
    <row r="6" spans="1:8" x14ac:dyDescent="0.25">
      <c r="A6" s="127"/>
      <c r="B6" s="127" t="s">
        <v>150</v>
      </c>
      <c r="C6" s="127" t="s">
        <v>196</v>
      </c>
      <c r="D6" s="127" t="s">
        <v>267</v>
      </c>
      <c r="E6" s="127" t="s">
        <v>64</v>
      </c>
      <c r="F6" s="127" t="s">
        <v>196</v>
      </c>
      <c r="G6" s="132">
        <f>'AB MTO'!N6</f>
        <v>30</v>
      </c>
      <c r="H6" s="127" t="s">
        <v>91</v>
      </c>
    </row>
    <row r="7" spans="1:8" x14ac:dyDescent="0.25">
      <c r="A7" s="127"/>
      <c r="B7" s="127" t="s">
        <v>151</v>
      </c>
      <c r="C7" s="127" t="s">
        <v>197</v>
      </c>
      <c r="D7" s="127" t="s">
        <v>226</v>
      </c>
      <c r="E7" s="127" t="s">
        <v>114</v>
      </c>
      <c r="F7" s="127" t="s">
        <v>197</v>
      </c>
      <c r="G7" s="132">
        <f>'AB MTO'!N7</f>
        <v>30</v>
      </c>
      <c r="H7" s="127" t="s">
        <v>91</v>
      </c>
    </row>
    <row r="8" spans="1:8" x14ac:dyDescent="0.25">
      <c r="A8" s="129"/>
      <c r="B8" s="129" t="s">
        <v>252</v>
      </c>
      <c r="C8" s="130" t="s">
        <v>253</v>
      </c>
      <c r="D8" s="129"/>
      <c r="E8" s="129"/>
      <c r="F8" s="130"/>
      <c r="G8" s="131"/>
      <c r="H8" s="129"/>
    </row>
    <row r="9" spans="1:8" x14ac:dyDescent="0.25">
      <c r="A9" s="127"/>
      <c r="B9" s="127" t="s">
        <v>50</v>
      </c>
      <c r="C9" s="127" t="s">
        <v>256</v>
      </c>
      <c r="D9" s="127" t="s">
        <v>50</v>
      </c>
      <c r="E9" s="127" t="s">
        <v>36</v>
      </c>
      <c r="F9" s="127" t="s">
        <v>256</v>
      </c>
      <c r="G9" s="132">
        <f>'AB MTO'!N9</f>
        <v>25</v>
      </c>
      <c r="H9" s="127" t="s">
        <v>91</v>
      </c>
    </row>
    <row r="10" spans="1:8" x14ac:dyDescent="0.25">
      <c r="A10" s="127"/>
      <c r="B10" s="127" t="s">
        <v>52</v>
      </c>
      <c r="C10" s="127" t="s">
        <v>257</v>
      </c>
      <c r="D10" s="127" t="s">
        <v>268</v>
      </c>
      <c r="E10" s="127" t="s">
        <v>65</v>
      </c>
      <c r="F10" s="127" t="s">
        <v>257</v>
      </c>
      <c r="G10" s="132">
        <f>'AB MTO'!N10</f>
        <v>45</v>
      </c>
      <c r="H10" s="127" t="s">
        <v>91</v>
      </c>
    </row>
    <row r="11" spans="1:8" x14ac:dyDescent="0.25">
      <c r="A11" s="127"/>
      <c r="B11" s="127" t="s">
        <v>53</v>
      </c>
      <c r="C11" s="127" t="s">
        <v>258</v>
      </c>
      <c r="D11" s="127" t="s">
        <v>269</v>
      </c>
      <c r="E11" s="127" t="s">
        <v>65</v>
      </c>
      <c r="F11" s="127" t="s">
        <v>258</v>
      </c>
      <c r="G11" s="132">
        <f>'AB MTO'!N11</f>
        <v>45</v>
      </c>
      <c r="H11" s="127" t="s">
        <v>91</v>
      </c>
    </row>
    <row r="12" spans="1:8" x14ac:dyDescent="0.25">
      <c r="A12" s="127"/>
      <c r="B12" s="127" t="s">
        <v>54</v>
      </c>
      <c r="C12" s="127" t="s">
        <v>259</v>
      </c>
      <c r="D12" s="127" t="s">
        <v>270</v>
      </c>
      <c r="E12" s="127" t="s">
        <v>64</v>
      </c>
      <c r="F12" s="127" t="s">
        <v>259</v>
      </c>
      <c r="G12" s="132">
        <f>'AB MTO'!N12</f>
        <v>45</v>
      </c>
      <c r="H12" s="127" t="s">
        <v>91</v>
      </c>
    </row>
    <row r="13" spans="1:8" x14ac:dyDescent="0.25">
      <c r="A13" s="127"/>
      <c r="B13" s="127" t="s">
        <v>55</v>
      </c>
      <c r="C13" s="127" t="s">
        <v>181</v>
      </c>
      <c r="D13" s="127" t="s">
        <v>215</v>
      </c>
      <c r="E13" s="127" t="s">
        <v>64</v>
      </c>
      <c r="F13" s="127" t="s">
        <v>181</v>
      </c>
      <c r="G13" s="132">
        <f>'AB MTO'!N13</f>
        <v>45</v>
      </c>
      <c r="H13" s="127" t="s">
        <v>91</v>
      </c>
    </row>
    <row r="14" spans="1:8" x14ac:dyDescent="0.25">
      <c r="A14" s="127"/>
      <c r="B14" s="127" t="s">
        <v>154</v>
      </c>
      <c r="C14" s="127" t="s">
        <v>260</v>
      </c>
      <c r="D14" s="127" t="s">
        <v>271</v>
      </c>
      <c r="E14" s="127" t="s">
        <v>64</v>
      </c>
      <c r="F14" s="127" t="s">
        <v>260</v>
      </c>
      <c r="G14" s="132">
        <f>'AB MTO'!N14</f>
        <v>45</v>
      </c>
      <c r="H14" s="127" t="s">
        <v>91</v>
      </c>
    </row>
    <row r="15" spans="1:8" x14ac:dyDescent="0.25">
      <c r="A15" s="129"/>
      <c r="B15" s="129" t="s">
        <v>254</v>
      </c>
      <c r="C15" s="130" t="s">
        <v>255</v>
      </c>
      <c r="D15" s="129"/>
      <c r="E15" s="129"/>
      <c r="F15" s="130"/>
      <c r="G15" s="131"/>
      <c r="H15" s="129"/>
    </row>
    <row r="16" spans="1:8" x14ac:dyDescent="0.25">
      <c r="A16" s="127"/>
      <c r="B16" s="127" t="s">
        <v>248</v>
      </c>
      <c r="C16" s="127" t="s">
        <v>263</v>
      </c>
      <c r="D16" s="127" t="s">
        <v>211</v>
      </c>
      <c r="E16" s="127" t="s">
        <v>64</v>
      </c>
      <c r="F16" s="127">
        <v>140150100</v>
      </c>
      <c r="G16" s="132">
        <f>'AB MTO'!N16</f>
        <v>1.9211148</v>
      </c>
      <c r="H16" s="127" t="s">
        <v>238</v>
      </c>
    </row>
    <row r="17" spans="1:8" x14ac:dyDescent="0.25">
      <c r="A17" s="127"/>
      <c r="B17" s="127" t="s">
        <v>249</v>
      </c>
      <c r="C17" s="127" t="s">
        <v>264</v>
      </c>
      <c r="D17" s="127" t="s">
        <v>211</v>
      </c>
      <c r="E17" s="127" t="s">
        <v>64</v>
      </c>
      <c r="F17" s="127">
        <v>140150100</v>
      </c>
      <c r="G17" s="132">
        <f>'AB MTO'!N17</f>
        <v>1.2807432000000001</v>
      </c>
      <c r="H17" s="127" t="s">
        <v>238</v>
      </c>
    </row>
    <row r="18" spans="1:8" x14ac:dyDescent="0.25">
      <c r="A18" s="127"/>
      <c r="B18" s="127" t="s">
        <v>250</v>
      </c>
      <c r="C18" s="127" t="s">
        <v>265</v>
      </c>
      <c r="D18" s="127" t="s">
        <v>211</v>
      </c>
      <c r="E18" s="127" t="s">
        <v>64</v>
      </c>
      <c r="F18" s="127">
        <v>140150100</v>
      </c>
      <c r="G18" s="132">
        <f>'AB MTO'!N18</f>
        <v>1.9211148</v>
      </c>
      <c r="H18" s="127" t="s">
        <v>238</v>
      </c>
    </row>
    <row r="19" spans="1:8" x14ac:dyDescent="0.25">
      <c r="A19" s="127"/>
      <c r="B19" s="127" t="s">
        <v>251</v>
      </c>
      <c r="C19" s="127" t="s">
        <v>266</v>
      </c>
      <c r="D19" s="127" t="s">
        <v>211</v>
      </c>
      <c r="E19" s="127" t="s">
        <v>64</v>
      </c>
      <c r="F19" s="127">
        <v>140150100</v>
      </c>
      <c r="G19" s="132">
        <f>'AB MTO'!N19</f>
        <v>1.2807432000000001</v>
      </c>
      <c r="H19" s="127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" x14ac:dyDescent="0.25"/>
  <cols>
    <col min="1" max="1" width="22" style="23" bestFit="1" customWidth="1"/>
    <col min="2" max="2" width="9.140625" style="23"/>
    <col min="3" max="3" width="11.28515625" style="23" bestFit="1" customWidth="1"/>
    <col min="4" max="4" width="4.140625" style="23" bestFit="1" customWidth="1"/>
    <col min="5" max="5" width="11.28515625" style="23" bestFit="1" customWidth="1"/>
    <col min="6" max="16384" width="9.140625" style="23"/>
  </cols>
  <sheetData>
    <row r="1" spans="1:5" x14ac:dyDescent="0.25">
      <c r="A1" s="127" t="s">
        <v>172</v>
      </c>
      <c r="B1" s="127" t="s">
        <v>173</v>
      </c>
      <c r="C1" s="127" t="s">
        <v>174</v>
      </c>
      <c r="D1" s="127" t="s">
        <v>80</v>
      </c>
      <c r="E1" s="127" t="s">
        <v>413</v>
      </c>
    </row>
    <row r="2" spans="1:5" x14ac:dyDescent="0.25">
      <c r="A2" s="127" t="s">
        <v>226</v>
      </c>
      <c r="B2" s="127" t="s">
        <v>114</v>
      </c>
      <c r="C2" s="127" t="s">
        <v>197</v>
      </c>
      <c r="D2" s="127" t="s">
        <v>91</v>
      </c>
      <c r="E2" s="127"/>
    </row>
    <row r="3" spans="1:5" x14ac:dyDescent="0.25">
      <c r="A3" s="127" t="s">
        <v>215</v>
      </c>
      <c r="B3" s="127" t="s">
        <v>64</v>
      </c>
      <c r="C3" s="127" t="s">
        <v>181</v>
      </c>
      <c r="D3" s="127" t="s">
        <v>91</v>
      </c>
      <c r="E3" s="127"/>
    </row>
    <row r="4" spans="1:5" x14ac:dyDescent="0.25">
      <c r="A4" s="127" t="s">
        <v>211</v>
      </c>
      <c r="B4" s="127" t="s">
        <v>64</v>
      </c>
      <c r="C4" s="127">
        <v>140150100</v>
      </c>
      <c r="D4" s="127" t="s">
        <v>238</v>
      </c>
      <c r="E4" s="127"/>
    </row>
    <row r="5" spans="1:5" x14ac:dyDescent="0.25">
      <c r="A5" s="127" t="s">
        <v>267</v>
      </c>
      <c r="B5" s="127" t="s">
        <v>64</v>
      </c>
      <c r="C5" s="127" t="s">
        <v>196</v>
      </c>
      <c r="D5" s="127" t="s">
        <v>91</v>
      </c>
      <c r="E5" s="127"/>
    </row>
    <row r="6" spans="1:5" x14ac:dyDescent="0.25">
      <c r="A6" s="127" t="s">
        <v>50</v>
      </c>
      <c r="B6" s="127" t="s">
        <v>36</v>
      </c>
      <c r="C6" s="127" t="s">
        <v>256</v>
      </c>
      <c r="D6" s="127" t="s">
        <v>91</v>
      </c>
      <c r="E6" s="127"/>
    </row>
    <row r="7" spans="1:5" x14ac:dyDescent="0.25">
      <c r="A7" s="127" t="s">
        <v>268</v>
      </c>
      <c r="B7" s="127" t="s">
        <v>65</v>
      </c>
      <c r="C7" s="127" t="s">
        <v>257</v>
      </c>
      <c r="D7" s="127" t="s">
        <v>91</v>
      </c>
      <c r="E7" s="127"/>
    </row>
    <row r="8" spans="1:5" x14ac:dyDescent="0.25">
      <c r="A8" s="127" t="s">
        <v>269</v>
      </c>
      <c r="B8" s="127" t="s">
        <v>65</v>
      </c>
      <c r="C8" s="127" t="s">
        <v>258</v>
      </c>
      <c r="D8" s="127" t="s">
        <v>91</v>
      </c>
      <c r="E8" s="127"/>
    </row>
    <row r="9" spans="1:5" x14ac:dyDescent="0.25">
      <c r="A9" s="127" t="s">
        <v>270</v>
      </c>
      <c r="B9" s="127" t="s">
        <v>64</v>
      </c>
      <c r="C9" s="127" t="s">
        <v>259</v>
      </c>
      <c r="D9" s="127" t="s">
        <v>91</v>
      </c>
      <c r="E9" s="127"/>
    </row>
    <row r="10" spans="1:5" x14ac:dyDescent="0.25">
      <c r="A10" s="127" t="s">
        <v>271</v>
      </c>
      <c r="B10" s="127" t="s">
        <v>64</v>
      </c>
      <c r="C10" s="127" t="s">
        <v>260</v>
      </c>
      <c r="D10" s="127" t="s">
        <v>91</v>
      </c>
      <c r="E10" s="1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B12" sqref="B12"/>
    </sheetView>
  </sheetViews>
  <sheetFormatPr defaultRowHeight="12.75" x14ac:dyDescent="0.25"/>
  <cols>
    <col min="1" max="1" width="4.140625" style="136" bestFit="1" customWidth="1"/>
    <col min="2" max="2" width="30.42578125" style="136" bestFit="1" customWidth="1"/>
    <col min="3" max="3" width="10" style="136" bestFit="1" customWidth="1"/>
    <col min="4" max="4" width="25" style="136" bestFit="1" customWidth="1"/>
    <col min="5" max="5" width="19.140625" style="136" bestFit="1" customWidth="1"/>
    <col min="6" max="6" width="11.28515625" style="136" bestFit="1" customWidth="1"/>
    <col min="7" max="7" width="7.5703125" style="137" bestFit="1" customWidth="1"/>
    <col min="8" max="8" width="5.85546875" style="136" bestFit="1" customWidth="1"/>
    <col min="9" max="16384" width="9.140625" style="136"/>
  </cols>
  <sheetData>
    <row r="1" spans="1:8" x14ac:dyDescent="0.25">
      <c r="A1" s="120" t="s">
        <v>0</v>
      </c>
      <c r="B1" s="120" t="s">
        <v>13</v>
      </c>
      <c r="C1" s="120" t="s">
        <v>171</v>
      </c>
      <c r="D1" s="121" t="s">
        <v>172</v>
      </c>
      <c r="E1" s="121" t="s">
        <v>173</v>
      </c>
      <c r="F1" s="122" t="s">
        <v>174</v>
      </c>
      <c r="G1" s="123" t="s">
        <v>175</v>
      </c>
      <c r="H1" s="120" t="s">
        <v>80</v>
      </c>
    </row>
    <row r="2" spans="1:8" x14ac:dyDescent="0.25">
      <c r="A2" s="124"/>
      <c r="B2" s="124" t="s">
        <v>272</v>
      </c>
      <c r="C2" s="125" t="s">
        <v>273</v>
      </c>
      <c r="D2" s="124"/>
      <c r="E2" s="124"/>
      <c r="F2" s="125"/>
      <c r="G2" s="126"/>
      <c r="H2" s="124"/>
    </row>
    <row r="3" spans="1:8" x14ac:dyDescent="0.25">
      <c r="A3" s="129"/>
      <c r="B3" s="129" t="s">
        <v>274</v>
      </c>
      <c r="C3" s="130" t="s">
        <v>412</v>
      </c>
      <c r="D3" s="129"/>
      <c r="E3" s="129"/>
      <c r="F3" s="130"/>
      <c r="G3" s="131"/>
      <c r="H3" s="129"/>
    </row>
    <row r="4" spans="1:8" x14ac:dyDescent="0.25">
      <c r="A4" s="127"/>
      <c r="B4" s="127" t="s">
        <v>86</v>
      </c>
      <c r="C4" s="127" t="s">
        <v>281</v>
      </c>
      <c r="D4" s="127" t="s">
        <v>283</v>
      </c>
      <c r="E4" s="127" t="s">
        <v>87</v>
      </c>
      <c r="F4" s="127">
        <v>276300110</v>
      </c>
      <c r="G4" s="132">
        <v>1.57</v>
      </c>
      <c r="H4" s="127" t="s">
        <v>123</v>
      </c>
    </row>
    <row r="5" spans="1:8" x14ac:dyDescent="0.25">
      <c r="A5" s="127"/>
      <c r="B5" s="127" t="s">
        <v>92</v>
      </c>
      <c r="C5" s="127" t="s">
        <v>279</v>
      </c>
      <c r="D5" s="127" t="s">
        <v>284</v>
      </c>
      <c r="E5" s="127" t="s">
        <v>87</v>
      </c>
      <c r="F5" s="127" t="s">
        <v>279</v>
      </c>
      <c r="G5" s="132">
        <v>2</v>
      </c>
      <c r="H5" s="127" t="s">
        <v>91</v>
      </c>
    </row>
    <row r="6" spans="1:8" x14ac:dyDescent="0.25">
      <c r="A6" s="127"/>
      <c r="B6" s="127" t="s">
        <v>93</v>
      </c>
      <c r="C6" s="127" t="s">
        <v>280</v>
      </c>
      <c r="D6" s="127" t="s">
        <v>285</v>
      </c>
      <c r="E6" s="127" t="s">
        <v>87</v>
      </c>
      <c r="F6" s="127" t="s">
        <v>280</v>
      </c>
      <c r="G6" s="132">
        <v>1</v>
      </c>
      <c r="H6" s="127" t="s">
        <v>91</v>
      </c>
    </row>
    <row r="7" spans="1:8" x14ac:dyDescent="0.25">
      <c r="A7" s="127"/>
      <c r="B7" s="127" t="s">
        <v>295</v>
      </c>
      <c r="C7" s="127" t="s">
        <v>282</v>
      </c>
      <c r="D7" s="127" t="s">
        <v>286</v>
      </c>
      <c r="E7" s="127" t="s">
        <v>217</v>
      </c>
      <c r="F7" s="127">
        <v>131000150</v>
      </c>
      <c r="G7" s="132">
        <v>4.5199999999999996</v>
      </c>
      <c r="H7" s="127" t="s">
        <v>238</v>
      </c>
    </row>
    <row r="8" spans="1:8" x14ac:dyDescent="0.25">
      <c r="A8" s="127"/>
      <c r="B8" s="127" t="s">
        <v>94</v>
      </c>
      <c r="C8" s="127" t="s">
        <v>275</v>
      </c>
      <c r="D8" s="127" t="s">
        <v>94</v>
      </c>
      <c r="E8" s="127" t="s">
        <v>87</v>
      </c>
      <c r="F8" s="127" t="s">
        <v>275</v>
      </c>
      <c r="G8" s="132">
        <v>5</v>
      </c>
      <c r="H8" s="127" t="s">
        <v>91</v>
      </c>
    </row>
    <row r="9" spans="1:8" x14ac:dyDescent="0.25">
      <c r="A9" s="127"/>
      <c r="B9" s="127" t="s">
        <v>96</v>
      </c>
      <c r="C9" s="127" t="s">
        <v>276</v>
      </c>
      <c r="D9" s="127" t="s">
        <v>287</v>
      </c>
      <c r="E9" s="127" t="s">
        <v>97</v>
      </c>
      <c r="F9" s="127" t="s">
        <v>276</v>
      </c>
      <c r="G9" s="132">
        <v>5</v>
      </c>
      <c r="H9" s="127" t="s">
        <v>91</v>
      </c>
    </row>
    <row r="10" spans="1:8" x14ac:dyDescent="0.25">
      <c r="A10" s="127"/>
      <c r="B10" s="127" t="s">
        <v>95</v>
      </c>
      <c r="C10" s="127" t="s">
        <v>277</v>
      </c>
      <c r="D10" s="127" t="s">
        <v>288</v>
      </c>
      <c r="E10" s="127" t="s">
        <v>36</v>
      </c>
      <c r="F10" s="127" t="s">
        <v>277</v>
      </c>
      <c r="G10" s="132">
        <v>5</v>
      </c>
      <c r="H10" s="127" t="s">
        <v>91</v>
      </c>
    </row>
    <row r="11" spans="1:8" x14ac:dyDescent="0.25">
      <c r="A11" s="127"/>
      <c r="B11" s="127" t="s">
        <v>103</v>
      </c>
      <c r="C11" s="127" t="s">
        <v>278</v>
      </c>
      <c r="D11" s="127" t="s">
        <v>289</v>
      </c>
      <c r="E11" s="127" t="s">
        <v>87</v>
      </c>
      <c r="F11" s="127">
        <v>259110065</v>
      </c>
      <c r="G11" s="132">
        <v>1.17</v>
      </c>
      <c r="H11" s="127" t="s">
        <v>238</v>
      </c>
    </row>
    <row r="12" spans="1:8" x14ac:dyDescent="0.25">
      <c r="A12" s="128"/>
      <c r="B12" s="129" t="s">
        <v>290</v>
      </c>
      <c r="C12" s="130" t="s">
        <v>412</v>
      </c>
      <c r="D12" s="128"/>
      <c r="E12" s="128"/>
      <c r="F12" s="128"/>
      <c r="G12" s="138"/>
      <c r="H12" s="128"/>
    </row>
    <row r="13" spans="1:8" x14ac:dyDescent="0.25">
      <c r="A13" s="127"/>
      <c r="B13" s="127" t="s">
        <v>86</v>
      </c>
      <c r="C13" s="127" t="s">
        <v>281</v>
      </c>
      <c r="D13" s="127" t="s">
        <v>283</v>
      </c>
      <c r="E13" s="127" t="s">
        <v>87</v>
      </c>
      <c r="F13" s="127">
        <v>276300110</v>
      </c>
      <c r="G13" s="132">
        <v>1.87</v>
      </c>
      <c r="H13" s="127" t="s">
        <v>123</v>
      </c>
    </row>
    <row r="14" spans="1:8" x14ac:dyDescent="0.25">
      <c r="A14" s="127"/>
      <c r="B14" s="127" t="s">
        <v>92</v>
      </c>
      <c r="C14" s="127" t="s">
        <v>279</v>
      </c>
      <c r="D14" s="127" t="s">
        <v>284</v>
      </c>
      <c r="E14" s="127" t="s">
        <v>87</v>
      </c>
      <c r="F14" s="127" t="s">
        <v>279</v>
      </c>
      <c r="G14" s="132">
        <v>2</v>
      </c>
      <c r="H14" s="127" t="s">
        <v>91</v>
      </c>
    </row>
    <row r="15" spans="1:8" x14ac:dyDescent="0.25">
      <c r="A15" s="127"/>
      <c r="B15" s="127" t="s">
        <v>93</v>
      </c>
      <c r="C15" s="127" t="s">
        <v>280</v>
      </c>
      <c r="D15" s="127" t="s">
        <v>285</v>
      </c>
      <c r="E15" s="127" t="s">
        <v>87</v>
      </c>
      <c r="F15" s="127" t="s">
        <v>280</v>
      </c>
      <c r="G15" s="132">
        <v>1</v>
      </c>
      <c r="H15" s="127" t="s">
        <v>91</v>
      </c>
    </row>
    <row r="16" spans="1:8" x14ac:dyDescent="0.25">
      <c r="A16" s="127"/>
      <c r="B16" s="127" t="s">
        <v>295</v>
      </c>
      <c r="C16" s="127" t="s">
        <v>282</v>
      </c>
      <c r="D16" s="127" t="s">
        <v>286</v>
      </c>
      <c r="E16" s="127" t="s">
        <v>217</v>
      </c>
      <c r="F16" s="127">
        <v>131000150</v>
      </c>
      <c r="G16" s="132">
        <v>4.5199999999999996</v>
      </c>
      <c r="H16" s="127" t="s">
        <v>238</v>
      </c>
    </row>
    <row r="17" spans="1:8" x14ac:dyDescent="0.25">
      <c r="A17" s="127"/>
      <c r="B17" s="127" t="s">
        <v>94</v>
      </c>
      <c r="C17" s="127" t="s">
        <v>275</v>
      </c>
      <c r="D17" s="127" t="s">
        <v>94</v>
      </c>
      <c r="E17" s="127" t="s">
        <v>87</v>
      </c>
      <c r="F17" s="127" t="s">
        <v>275</v>
      </c>
      <c r="G17" s="132">
        <v>6</v>
      </c>
      <c r="H17" s="127" t="s">
        <v>91</v>
      </c>
    </row>
    <row r="18" spans="1:8" x14ac:dyDescent="0.25">
      <c r="A18" s="127"/>
      <c r="B18" s="127" t="s">
        <v>96</v>
      </c>
      <c r="C18" s="127" t="s">
        <v>276</v>
      </c>
      <c r="D18" s="127" t="s">
        <v>287</v>
      </c>
      <c r="E18" s="127" t="s">
        <v>97</v>
      </c>
      <c r="F18" s="127" t="s">
        <v>276</v>
      </c>
      <c r="G18" s="132">
        <v>6</v>
      </c>
      <c r="H18" s="127" t="s">
        <v>91</v>
      </c>
    </row>
    <row r="19" spans="1:8" x14ac:dyDescent="0.25">
      <c r="A19" s="127"/>
      <c r="B19" s="127" t="s">
        <v>95</v>
      </c>
      <c r="C19" s="127" t="s">
        <v>277</v>
      </c>
      <c r="D19" s="127" t="s">
        <v>288</v>
      </c>
      <c r="E19" s="127" t="s">
        <v>36</v>
      </c>
      <c r="F19" s="127" t="s">
        <v>277</v>
      </c>
      <c r="G19" s="132">
        <v>6</v>
      </c>
      <c r="H19" s="127" t="s">
        <v>91</v>
      </c>
    </row>
    <row r="20" spans="1:8" x14ac:dyDescent="0.25">
      <c r="A20" s="127"/>
      <c r="B20" s="127" t="s">
        <v>103</v>
      </c>
      <c r="C20" s="127" t="s">
        <v>278</v>
      </c>
      <c r="D20" s="127" t="s">
        <v>289</v>
      </c>
      <c r="E20" s="127" t="s">
        <v>87</v>
      </c>
      <c r="F20" s="127">
        <v>259110065</v>
      </c>
      <c r="G20" s="132">
        <v>1.4</v>
      </c>
      <c r="H20" s="127" t="s">
        <v>238</v>
      </c>
    </row>
    <row r="21" spans="1:8" x14ac:dyDescent="0.25">
      <c r="A21" s="128"/>
      <c r="B21" s="129" t="s">
        <v>291</v>
      </c>
      <c r="C21" s="130" t="s">
        <v>412</v>
      </c>
      <c r="D21" s="128"/>
      <c r="E21" s="128"/>
      <c r="F21" s="128"/>
      <c r="G21" s="138"/>
      <c r="H21" s="128"/>
    </row>
    <row r="22" spans="1:8" x14ac:dyDescent="0.25">
      <c r="A22" s="127"/>
      <c r="B22" s="127" t="s">
        <v>86</v>
      </c>
      <c r="C22" s="127" t="s">
        <v>281</v>
      </c>
      <c r="D22" s="127" t="s">
        <v>283</v>
      </c>
      <c r="E22" s="127" t="s">
        <v>87</v>
      </c>
      <c r="F22" s="127">
        <v>276300110</v>
      </c>
      <c r="G22" s="132">
        <v>2.1800000000000002</v>
      </c>
      <c r="H22" s="127" t="s">
        <v>123</v>
      </c>
    </row>
    <row r="23" spans="1:8" x14ac:dyDescent="0.25">
      <c r="A23" s="127"/>
      <c r="B23" s="127" t="s">
        <v>92</v>
      </c>
      <c r="C23" s="127" t="s">
        <v>279</v>
      </c>
      <c r="D23" s="127" t="s">
        <v>284</v>
      </c>
      <c r="E23" s="127" t="s">
        <v>87</v>
      </c>
      <c r="F23" s="127" t="s">
        <v>279</v>
      </c>
      <c r="G23" s="132">
        <v>2</v>
      </c>
      <c r="H23" s="127" t="s">
        <v>91</v>
      </c>
    </row>
    <row r="24" spans="1:8" x14ac:dyDescent="0.25">
      <c r="A24" s="127"/>
      <c r="B24" s="127" t="s">
        <v>93</v>
      </c>
      <c r="C24" s="127" t="s">
        <v>280</v>
      </c>
      <c r="D24" s="127" t="s">
        <v>285</v>
      </c>
      <c r="E24" s="127" t="s">
        <v>87</v>
      </c>
      <c r="F24" s="127" t="s">
        <v>280</v>
      </c>
      <c r="G24" s="132">
        <v>1</v>
      </c>
      <c r="H24" s="127" t="s">
        <v>91</v>
      </c>
    </row>
    <row r="25" spans="1:8" x14ac:dyDescent="0.25">
      <c r="A25" s="127"/>
      <c r="B25" s="127" t="s">
        <v>295</v>
      </c>
      <c r="C25" s="127" t="s">
        <v>282</v>
      </c>
      <c r="D25" s="127" t="s">
        <v>286</v>
      </c>
      <c r="E25" s="127" t="s">
        <v>217</v>
      </c>
      <c r="F25" s="127">
        <v>131000150</v>
      </c>
      <c r="G25" s="132">
        <v>4.5199999999999996</v>
      </c>
      <c r="H25" s="127" t="s">
        <v>238</v>
      </c>
    </row>
    <row r="26" spans="1:8" x14ac:dyDescent="0.25">
      <c r="A26" s="127"/>
      <c r="B26" s="127" t="s">
        <v>94</v>
      </c>
      <c r="C26" s="127" t="s">
        <v>275</v>
      </c>
      <c r="D26" s="127" t="s">
        <v>94</v>
      </c>
      <c r="E26" s="127" t="s">
        <v>87</v>
      </c>
      <c r="F26" s="127" t="s">
        <v>275</v>
      </c>
      <c r="G26" s="132">
        <v>7</v>
      </c>
      <c r="H26" s="127" t="s">
        <v>91</v>
      </c>
    </row>
    <row r="27" spans="1:8" x14ac:dyDescent="0.25">
      <c r="A27" s="127"/>
      <c r="B27" s="127" t="s">
        <v>96</v>
      </c>
      <c r="C27" s="127" t="s">
        <v>276</v>
      </c>
      <c r="D27" s="127" t="s">
        <v>287</v>
      </c>
      <c r="E27" s="127" t="s">
        <v>97</v>
      </c>
      <c r="F27" s="127" t="s">
        <v>276</v>
      </c>
      <c r="G27" s="132">
        <v>7</v>
      </c>
      <c r="H27" s="127" t="s">
        <v>91</v>
      </c>
    </row>
    <row r="28" spans="1:8" x14ac:dyDescent="0.25">
      <c r="A28" s="127"/>
      <c r="B28" s="127" t="s">
        <v>95</v>
      </c>
      <c r="C28" s="127" t="s">
        <v>277</v>
      </c>
      <c r="D28" s="127" t="s">
        <v>288</v>
      </c>
      <c r="E28" s="127" t="s">
        <v>36</v>
      </c>
      <c r="F28" s="127" t="s">
        <v>277</v>
      </c>
      <c r="G28" s="132">
        <v>7</v>
      </c>
      <c r="H28" s="127" t="s">
        <v>91</v>
      </c>
    </row>
    <row r="29" spans="1:8" x14ac:dyDescent="0.25">
      <c r="A29" s="127"/>
      <c r="B29" s="127" t="s">
        <v>103</v>
      </c>
      <c r="C29" s="127" t="s">
        <v>278</v>
      </c>
      <c r="D29" s="127" t="s">
        <v>289</v>
      </c>
      <c r="E29" s="127" t="s">
        <v>87</v>
      </c>
      <c r="F29" s="127">
        <v>259110065</v>
      </c>
      <c r="G29" s="132">
        <v>1.64</v>
      </c>
      <c r="H29" s="127" t="s">
        <v>238</v>
      </c>
    </row>
    <row r="30" spans="1:8" x14ac:dyDescent="0.25">
      <c r="A30" s="128"/>
      <c r="B30" s="129" t="s">
        <v>292</v>
      </c>
      <c r="C30" s="130" t="s">
        <v>412</v>
      </c>
      <c r="D30" s="128"/>
      <c r="E30" s="128"/>
      <c r="F30" s="128"/>
      <c r="G30" s="138"/>
      <c r="H30" s="128"/>
    </row>
    <row r="31" spans="1:8" x14ac:dyDescent="0.25">
      <c r="A31" s="127"/>
      <c r="B31" s="127" t="s">
        <v>86</v>
      </c>
      <c r="C31" s="127" t="s">
        <v>281</v>
      </c>
      <c r="D31" s="127" t="s">
        <v>283</v>
      </c>
      <c r="E31" s="127" t="s">
        <v>87</v>
      </c>
      <c r="F31" s="127">
        <v>276300110</v>
      </c>
      <c r="G31" s="132">
        <v>2.48</v>
      </c>
      <c r="H31" s="127" t="s">
        <v>123</v>
      </c>
    </row>
    <row r="32" spans="1:8" x14ac:dyDescent="0.25">
      <c r="A32" s="127"/>
      <c r="B32" s="127" t="s">
        <v>92</v>
      </c>
      <c r="C32" s="127" t="s">
        <v>279</v>
      </c>
      <c r="D32" s="127" t="s">
        <v>284</v>
      </c>
      <c r="E32" s="127" t="s">
        <v>87</v>
      </c>
      <c r="F32" s="127" t="s">
        <v>279</v>
      </c>
      <c r="G32" s="132">
        <v>2</v>
      </c>
      <c r="H32" s="127" t="s">
        <v>91</v>
      </c>
    </row>
    <row r="33" spans="1:8" x14ac:dyDescent="0.25">
      <c r="A33" s="127"/>
      <c r="B33" s="127" t="s">
        <v>93</v>
      </c>
      <c r="C33" s="127" t="s">
        <v>280</v>
      </c>
      <c r="D33" s="127" t="s">
        <v>285</v>
      </c>
      <c r="E33" s="127" t="s">
        <v>87</v>
      </c>
      <c r="F33" s="127" t="s">
        <v>280</v>
      </c>
      <c r="G33" s="132">
        <v>1</v>
      </c>
      <c r="H33" s="127" t="s">
        <v>91</v>
      </c>
    </row>
    <row r="34" spans="1:8" x14ac:dyDescent="0.25">
      <c r="A34" s="127"/>
      <c r="B34" s="127" t="s">
        <v>295</v>
      </c>
      <c r="C34" s="127" t="s">
        <v>282</v>
      </c>
      <c r="D34" s="127" t="s">
        <v>286</v>
      </c>
      <c r="E34" s="127" t="s">
        <v>217</v>
      </c>
      <c r="F34" s="127">
        <v>131000150</v>
      </c>
      <c r="G34" s="132">
        <v>4.5199999999999996</v>
      </c>
      <c r="H34" s="127" t="s">
        <v>238</v>
      </c>
    </row>
    <row r="35" spans="1:8" x14ac:dyDescent="0.25">
      <c r="A35" s="127"/>
      <c r="B35" s="127" t="s">
        <v>94</v>
      </c>
      <c r="C35" s="127" t="s">
        <v>275</v>
      </c>
      <c r="D35" s="127" t="s">
        <v>94</v>
      </c>
      <c r="E35" s="127" t="s">
        <v>87</v>
      </c>
      <c r="F35" s="127" t="s">
        <v>275</v>
      </c>
      <c r="G35" s="132">
        <v>8</v>
      </c>
      <c r="H35" s="127" t="s">
        <v>91</v>
      </c>
    </row>
    <row r="36" spans="1:8" x14ac:dyDescent="0.25">
      <c r="A36" s="127"/>
      <c r="B36" s="127" t="s">
        <v>96</v>
      </c>
      <c r="C36" s="127" t="s">
        <v>276</v>
      </c>
      <c r="D36" s="127" t="s">
        <v>287</v>
      </c>
      <c r="E36" s="127" t="s">
        <v>97</v>
      </c>
      <c r="F36" s="127" t="s">
        <v>276</v>
      </c>
      <c r="G36" s="132">
        <v>8</v>
      </c>
      <c r="H36" s="127" t="s">
        <v>91</v>
      </c>
    </row>
    <row r="37" spans="1:8" x14ac:dyDescent="0.25">
      <c r="A37" s="127"/>
      <c r="B37" s="127" t="s">
        <v>95</v>
      </c>
      <c r="C37" s="127" t="s">
        <v>277</v>
      </c>
      <c r="D37" s="127" t="s">
        <v>288</v>
      </c>
      <c r="E37" s="127" t="s">
        <v>36</v>
      </c>
      <c r="F37" s="127" t="s">
        <v>277</v>
      </c>
      <c r="G37" s="132">
        <v>8</v>
      </c>
      <c r="H37" s="127" t="s">
        <v>91</v>
      </c>
    </row>
    <row r="38" spans="1:8" x14ac:dyDescent="0.25">
      <c r="A38" s="127"/>
      <c r="B38" s="127" t="s">
        <v>103</v>
      </c>
      <c r="C38" s="127" t="s">
        <v>278</v>
      </c>
      <c r="D38" s="127" t="s">
        <v>289</v>
      </c>
      <c r="E38" s="127" t="s">
        <v>87</v>
      </c>
      <c r="F38" s="127">
        <v>259110065</v>
      </c>
      <c r="G38" s="132">
        <v>1.87</v>
      </c>
      <c r="H38" s="127" t="s">
        <v>238</v>
      </c>
    </row>
    <row r="39" spans="1:8" x14ac:dyDescent="0.25">
      <c r="A39" s="128"/>
      <c r="B39" s="129" t="s">
        <v>293</v>
      </c>
      <c r="C39" s="130" t="s">
        <v>412</v>
      </c>
      <c r="D39" s="128"/>
      <c r="E39" s="128"/>
      <c r="F39" s="128"/>
      <c r="G39" s="138"/>
      <c r="H39" s="128"/>
    </row>
    <row r="40" spans="1:8" x14ac:dyDescent="0.25">
      <c r="A40" s="127"/>
      <c r="B40" s="127" t="s">
        <v>86</v>
      </c>
      <c r="C40" s="127" t="s">
        <v>281</v>
      </c>
      <c r="D40" s="127" t="s">
        <v>283</v>
      </c>
      <c r="E40" s="127" t="s">
        <v>87</v>
      </c>
      <c r="F40" s="127">
        <v>276300110</v>
      </c>
      <c r="G40" s="132">
        <v>2.78</v>
      </c>
      <c r="H40" s="127" t="s">
        <v>123</v>
      </c>
    </row>
    <row r="41" spans="1:8" x14ac:dyDescent="0.25">
      <c r="A41" s="127"/>
      <c r="B41" s="127" t="s">
        <v>92</v>
      </c>
      <c r="C41" s="127" t="s">
        <v>279</v>
      </c>
      <c r="D41" s="127" t="s">
        <v>284</v>
      </c>
      <c r="E41" s="127" t="s">
        <v>87</v>
      </c>
      <c r="F41" s="127" t="s">
        <v>279</v>
      </c>
      <c r="G41" s="132">
        <v>2</v>
      </c>
      <c r="H41" s="127" t="s">
        <v>91</v>
      </c>
    </row>
    <row r="42" spans="1:8" x14ac:dyDescent="0.25">
      <c r="A42" s="127"/>
      <c r="B42" s="127" t="s">
        <v>93</v>
      </c>
      <c r="C42" s="127" t="s">
        <v>280</v>
      </c>
      <c r="D42" s="127" t="s">
        <v>285</v>
      </c>
      <c r="E42" s="127" t="s">
        <v>87</v>
      </c>
      <c r="F42" s="127" t="s">
        <v>280</v>
      </c>
      <c r="G42" s="132">
        <v>1</v>
      </c>
      <c r="H42" s="127" t="s">
        <v>91</v>
      </c>
    </row>
    <row r="43" spans="1:8" x14ac:dyDescent="0.25">
      <c r="A43" s="127"/>
      <c r="B43" s="127" t="s">
        <v>295</v>
      </c>
      <c r="C43" s="127" t="s">
        <v>282</v>
      </c>
      <c r="D43" s="127" t="s">
        <v>286</v>
      </c>
      <c r="E43" s="127" t="s">
        <v>217</v>
      </c>
      <c r="F43" s="127">
        <v>131000150</v>
      </c>
      <c r="G43" s="132">
        <v>4.5199999999999996</v>
      </c>
      <c r="H43" s="127" t="s">
        <v>238</v>
      </c>
    </row>
    <row r="44" spans="1:8" x14ac:dyDescent="0.25">
      <c r="A44" s="127"/>
      <c r="B44" s="127" t="s">
        <v>94</v>
      </c>
      <c r="C44" s="127" t="s">
        <v>275</v>
      </c>
      <c r="D44" s="127" t="s">
        <v>94</v>
      </c>
      <c r="E44" s="127" t="s">
        <v>87</v>
      </c>
      <c r="F44" s="127" t="s">
        <v>275</v>
      </c>
      <c r="G44" s="132">
        <v>9</v>
      </c>
      <c r="H44" s="127" t="s">
        <v>91</v>
      </c>
    </row>
    <row r="45" spans="1:8" x14ac:dyDescent="0.25">
      <c r="A45" s="127"/>
      <c r="B45" s="127" t="s">
        <v>96</v>
      </c>
      <c r="C45" s="127" t="s">
        <v>276</v>
      </c>
      <c r="D45" s="127" t="s">
        <v>287</v>
      </c>
      <c r="E45" s="127" t="s">
        <v>97</v>
      </c>
      <c r="F45" s="127" t="s">
        <v>276</v>
      </c>
      <c r="G45" s="132">
        <v>9</v>
      </c>
      <c r="H45" s="127" t="s">
        <v>91</v>
      </c>
    </row>
    <row r="46" spans="1:8" x14ac:dyDescent="0.25">
      <c r="A46" s="127"/>
      <c r="B46" s="127" t="s">
        <v>95</v>
      </c>
      <c r="C46" s="127" t="s">
        <v>277</v>
      </c>
      <c r="D46" s="127" t="s">
        <v>288</v>
      </c>
      <c r="E46" s="127" t="s">
        <v>36</v>
      </c>
      <c r="F46" s="127" t="s">
        <v>277</v>
      </c>
      <c r="G46" s="132">
        <v>9</v>
      </c>
      <c r="H46" s="127" t="s">
        <v>91</v>
      </c>
    </row>
    <row r="47" spans="1:8" x14ac:dyDescent="0.25">
      <c r="A47" s="127"/>
      <c r="B47" s="127" t="s">
        <v>103</v>
      </c>
      <c r="C47" s="127" t="s">
        <v>278</v>
      </c>
      <c r="D47" s="127" t="s">
        <v>289</v>
      </c>
      <c r="E47" s="127" t="s">
        <v>87</v>
      </c>
      <c r="F47" s="127">
        <v>259110065</v>
      </c>
      <c r="G47" s="132">
        <v>2.11</v>
      </c>
      <c r="H47" s="127" t="s">
        <v>238</v>
      </c>
    </row>
    <row r="48" spans="1:8" x14ac:dyDescent="0.25">
      <c r="A48" s="128"/>
      <c r="B48" s="129" t="s">
        <v>294</v>
      </c>
      <c r="C48" s="130" t="s">
        <v>412</v>
      </c>
      <c r="D48" s="128"/>
      <c r="E48" s="128"/>
      <c r="F48" s="128"/>
      <c r="G48" s="138"/>
      <c r="H48" s="128"/>
    </row>
    <row r="49" spans="1:8" x14ac:dyDescent="0.25">
      <c r="A49" s="127"/>
      <c r="B49" s="127" t="s">
        <v>86</v>
      </c>
      <c r="C49" s="127" t="s">
        <v>281</v>
      </c>
      <c r="D49" s="127" t="s">
        <v>283</v>
      </c>
      <c r="E49" s="127" t="s">
        <v>87</v>
      </c>
      <c r="F49" s="127">
        <v>276300110</v>
      </c>
      <c r="G49" s="132">
        <v>3.09</v>
      </c>
      <c r="H49" s="127" t="s">
        <v>123</v>
      </c>
    </row>
    <row r="50" spans="1:8" x14ac:dyDescent="0.25">
      <c r="A50" s="127"/>
      <c r="B50" s="127" t="s">
        <v>92</v>
      </c>
      <c r="C50" s="127" t="s">
        <v>279</v>
      </c>
      <c r="D50" s="127" t="s">
        <v>284</v>
      </c>
      <c r="E50" s="127" t="s">
        <v>87</v>
      </c>
      <c r="F50" s="127" t="s">
        <v>279</v>
      </c>
      <c r="G50" s="132">
        <v>2</v>
      </c>
      <c r="H50" s="127" t="s">
        <v>91</v>
      </c>
    </row>
    <row r="51" spans="1:8" x14ac:dyDescent="0.25">
      <c r="A51" s="127"/>
      <c r="B51" s="127" t="s">
        <v>93</v>
      </c>
      <c r="C51" s="127" t="s">
        <v>280</v>
      </c>
      <c r="D51" s="127" t="s">
        <v>285</v>
      </c>
      <c r="E51" s="127" t="s">
        <v>87</v>
      </c>
      <c r="F51" s="127" t="s">
        <v>280</v>
      </c>
      <c r="G51" s="132">
        <v>1</v>
      </c>
      <c r="H51" s="127" t="s">
        <v>91</v>
      </c>
    </row>
    <row r="52" spans="1:8" x14ac:dyDescent="0.25">
      <c r="A52" s="127"/>
      <c r="B52" s="127" t="s">
        <v>295</v>
      </c>
      <c r="C52" s="127" t="s">
        <v>282</v>
      </c>
      <c r="D52" s="127" t="s">
        <v>286</v>
      </c>
      <c r="E52" s="127" t="s">
        <v>217</v>
      </c>
      <c r="F52" s="127">
        <v>131000150</v>
      </c>
      <c r="G52" s="132">
        <v>4.5199999999999996</v>
      </c>
      <c r="H52" s="127" t="s">
        <v>238</v>
      </c>
    </row>
    <row r="53" spans="1:8" x14ac:dyDescent="0.25">
      <c r="A53" s="127"/>
      <c r="B53" s="127" t="s">
        <v>94</v>
      </c>
      <c r="C53" s="127" t="s">
        <v>275</v>
      </c>
      <c r="D53" s="127" t="s">
        <v>94</v>
      </c>
      <c r="E53" s="127" t="s">
        <v>87</v>
      </c>
      <c r="F53" s="127" t="s">
        <v>275</v>
      </c>
      <c r="G53" s="132">
        <v>10</v>
      </c>
      <c r="H53" s="127" t="s">
        <v>91</v>
      </c>
    </row>
    <row r="54" spans="1:8" x14ac:dyDescent="0.25">
      <c r="A54" s="127"/>
      <c r="B54" s="127" t="s">
        <v>96</v>
      </c>
      <c r="C54" s="127" t="s">
        <v>276</v>
      </c>
      <c r="D54" s="127" t="s">
        <v>287</v>
      </c>
      <c r="E54" s="127" t="s">
        <v>97</v>
      </c>
      <c r="F54" s="127" t="s">
        <v>276</v>
      </c>
      <c r="G54" s="132">
        <v>10</v>
      </c>
      <c r="H54" s="127" t="s">
        <v>91</v>
      </c>
    </row>
    <row r="55" spans="1:8" x14ac:dyDescent="0.25">
      <c r="A55" s="127"/>
      <c r="B55" s="127" t="s">
        <v>95</v>
      </c>
      <c r="C55" s="127" t="s">
        <v>277</v>
      </c>
      <c r="D55" s="127" t="s">
        <v>288</v>
      </c>
      <c r="E55" s="127" t="s">
        <v>36</v>
      </c>
      <c r="F55" s="127" t="s">
        <v>277</v>
      </c>
      <c r="G55" s="132">
        <v>10</v>
      </c>
      <c r="H55" s="127" t="s">
        <v>91</v>
      </c>
    </row>
    <row r="56" spans="1:8" x14ac:dyDescent="0.25">
      <c r="A56" s="127"/>
      <c r="B56" s="127" t="s">
        <v>103</v>
      </c>
      <c r="C56" s="127" t="s">
        <v>278</v>
      </c>
      <c r="D56" s="127" t="s">
        <v>289</v>
      </c>
      <c r="E56" s="127" t="s">
        <v>87</v>
      </c>
      <c r="F56" s="127">
        <v>259110065</v>
      </c>
      <c r="G56" s="132">
        <v>2.34</v>
      </c>
      <c r="H56" s="127" t="s">
        <v>238</v>
      </c>
    </row>
    <row r="57" spans="1:8" x14ac:dyDescent="0.25">
      <c r="A57" s="128"/>
      <c r="B57" s="129" t="s">
        <v>296</v>
      </c>
      <c r="C57" s="128" t="s">
        <v>307</v>
      </c>
      <c r="D57" s="128"/>
      <c r="E57" s="128"/>
      <c r="F57" s="128"/>
      <c r="G57" s="138"/>
      <c r="H57" s="128"/>
    </row>
    <row r="58" spans="1:8" x14ac:dyDescent="0.25">
      <c r="A58" s="127"/>
      <c r="B58" s="127" t="s">
        <v>98</v>
      </c>
      <c r="C58" s="127" t="s">
        <v>308</v>
      </c>
      <c r="D58" s="127" t="s">
        <v>315</v>
      </c>
      <c r="E58" s="127" t="s">
        <v>221</v>
      </c>
      <c r="F58" s="127">
        <v>276300040</v>
      </c>
      <c r="G58" s="132">
        <f>'NB MTO'!I12</f>
        <v>1</v>
      </c>
      <c r="H58" s="127" t="s">
        <v>123</v>
      </c>
    </row>
    <row r="59" spans="1:8" x14ac:dyDescent="0.25">
      <c r="A59" s="127"/>
      <c r="B59" s="127" t="s">
        <v>102</v>
      </c>
      <c r="C59" s="127" t="s">
        <v>300</v>
      </c>
      <c r="D59" s="127" t="s">
        <v>316</v>
      </c>
      <c r="E59" s="127" t="s">
        <v>65</v>
      </c>
      <c r="F59" s="127" t="s">
        <v>300</v>
      </c>
      <c r="G59" s="132">
        <f>'NB MTO'!I13</f>
        <v>1</v>
      </c>
      <c r="H59" s="127" t="s">
        <v>91</v>
      </c>
    </row>
    <row r="60" spans="1:8" x14ac:dyDescent="0.25">
      <c r="A60" s="128"/>
      <c r="B60" s="128" t="s">
        <v>324</v>
      </c>
      <c r="C60" s="128" t="s">
        <v>309</v>
      </c>
      <c r="D60" s="128"/>
      <c r="E60" s="128"/>
      <c r="F60" s="128"/>
      <c r="G60" s="138"/>
      <c r="H60" s="128"/>
    </row>
    <row r="61" spans="1:8" x14ac:dyDescent="0.25">
      <c r="A61" s="127"/>
      <c r="B61" s="127" t="s">
        <v>297</v>
      </c>
      <c r="C61" s="127" t="s">
        <v>301</v>
      </c>
      <c r="D61" s="127" t="s">
        <v>106</v>
      </c>
      <c r="E61" s="127" t="s">
        <v>107</v>
      </c>
      <c r="F61" s="127" t="s">
        <v>301</v>
      </c>
      <c r="G61" s="132">
        <f>'NB MTO'!I14</f>
        <v>12</v>
      </c>
      <c r="H61" s="127" t="s">
        <v>91</v>
      </c>
    </row>
    <row r="62" spans="1:8" x14ac:dyDescent="0.25">
      <c r="A62" s="127"/>
      <c r="B62" s="127" t="s">
        <v>298</v>
      </c>
      <c r="C62" s="127" t="s">
        <v>302</v>
      </c>
      <c r="D62" s="127" t="s">
        <v>317</v>
      </c>
      <c r="E62" s="127" t="s">
        <v>318</v>
      </c>
      <c r="F62" s="127" t="s">
        <v>302</v>
      </c>
      <c r="G62" s="132">
        <f>'NB MTO'!I15</f>
        <v>12</v>
      </c>
      <c r="H62" s="127" t="s">
        <v>91</v>
      </c>
    </row>
    <row r="63" spans="1:8" x14ac:dyDescent="0.25">
      <c r="A63" s="127"/>
      <c r="B63" s="127" t="s">
        <v>299</v>
      </c>
      <c r="C63" s="127" t="s">
        <v>303</v>
      </c>
      <c r="D63" s="127" t="s">
        <v>319</v>
      </c>
      <c r="E63" s="127" t="s">
        <v>97</v>
      </c>
      <c r="F63" s="127" t="s">
        <v>303</v>
      </c>
      <c r="G63" s="132">
        <f>'NB MTO'!I16</f>
        <v>12</v>
      </c>
      <c r="H63" s="127" t="s">
        <v>91</v>
      </c>
    </row>
    <row r="64" spans="1:8" x14ac:dyDescent="0.25">
      <c r="A64" s="127"/>
      <c r="B64" s="127" t="s">
        <v>111</v>
      </c>
      <c r="C64" s="127" t="s">
        <v>304</v>
      </c>
      <c r="D64" s="127" t="s">
        <v>320</v>
      </c>
      <c r="E64" s="127" t="s">
        <v>112</v>
      </c>
      <c r="F64" s="127" t="s">
        <v>304</v>
      </c>
      <c r="G64" s="132">
        <f>'NB MTO'!I17</f>
        <v>12</v>
      </c>
      <c r="H64" s="127" t="s">
        <v>91</v>
      </c>
    </row>
    <row r="65" spans="1:8" x14ac:dyDescent="0.25">
      <c r="A65" s="128"/>
      <c r="B65" s="128" t="s">
        <v>325</v>
      </c>
      <c r="C65" s="128" t="s">
        <v>310</v>
      </c>
      <c r="D65" s="128"/>
      <c r="E65" s="128"/>
      <c r="F65" s="128"/>
      <c r="G65" s="138"/>
      <c r="H65" s="128"/>
    </row>
    <row r="66" spans="1:8" x14ac:dyDescent="0.25">
      <c r="A66" s="127"/>
      <c r="B66" s="127" t="s">
        <v>143</v>
      </c>
      <c r="C66" s="127" t="s">
        <v>311</v>
      </c>
      <c r="D66" s="127" t="s">
        <v>211</v>
      </c>
      <c r="E66" s="127" t="s">
        <v>64</v>
      </c>
      <c r="F66" s="127">
        <v>140150100</v>
      </c>
      <c r="G66" s="132">
        <f>'NB MTO'!K18</f>
        <v>8.2896000000000001</v>
      </c>
      <c r="H66" s="127" t="s">
        <v>238</v>
      </c>
    </row>
    <row r="67" spans="1:8" x14ac:dyDescent="0.25">
      <c r="A67" s="128"/>
      <c r="B67" s="128" t="s">
        <v>326</v>
      </c>
      <c r="C67" s="128" t="s">
        <v>312</v>
      </c>
      <c r="D67" s="128"/>
      <c r="E67" s="128"/>
      <c r="F67" s="128"/>
      <c r="G67" s="138"/>
      <c r="H67" s="128"/>
    </row>
    <row r="68" spans="1:8" x14ac:dyDescent="0.25">
      <c r="A68" s="127"/>
      <c r="B68" s="127" t="s">
        <v>113</v>
      </c>
      <c r="C68" s="127" t="s">
        <v>305</v>
      </c>
      <c r="D68" s="127" t="s">
        <v>321</v>
      </c>
      <c r="E68" s="127" t="s">
        <v>65</v>
      </c>
      <c r="F68" s="127" t="s">
        <v>305</v>
      </c>
      <c r="G68" s="132">
        <f>'NB MTO'!I19</f>
        <v>2</v>
      </c>
      <c r="H68" s="127" t="s">
        <v>91</v>
      </c>
    </row>
    <row r="69" spans="1:8" x14ac:dyDescent="0.25">
      <c r="A69" s="127"/>
      <c r="B69" s="127" t="s">
        <v>54</v>
      </c>
      <c r="C69" s="127" t="s">
        <v>306</v>
      </c>
      <c r="D69" s="127" t="s">
        <v>322</v>
      </c>
      <c r="E69" s="127" t="s">
        <v>64</v>
      </c>
      <c r="F69" s="127" t="s">
        <v>306</v>
      </c>
      <c r="G69" s="132">
        <f>'NB MTO'!I20</f>
        <v>2</v>
      </c>
      <c r="H69" s="127" t="s">
        <v>91</v>
      </c>
    </row>
    <row r="70" spans="1:8" x14ac:dyDescent="0.25">
      <c r="A70" s="127"/>
      <c r="B70" s="127" t="s">
        <v>55</v>
      </c>
      <c r="C70" s="127" t="s">
        <v>181</v>
      </c>
      <c r="D70" s="127" t="s">
        <v>215</v>
      </c>
      <c r="E70" s="127" t="s">
        <v>64</v>
      </c>
      <c r="F70" s="127" t="s">
        <v>181</v>
      </c>
      <c r="G70" s="132">
        <f>'NB MTO'!I21</f>
        <v>2</v>
      </c>
      <c r="H70" s="127" t="s">
        <v>91</v>
      </c>
    </row>
    <row r="71" spans="1:8" x14ac:dyDescent="0.25">
      <c r="A71" s="127"/>
      <c r="B71" s="127" t="s">
        <v>111</v>
      </c>
      <c r="C71" s="127" t="s">
        <v>304</v>
      </c>
      <c r="D71" s="127" t="s">
        <v>320</v>
      </c>
      <c r="E71" s="127" t="s">
        <v>112</v>
      </c>
      <c r="F71" s="127" t="s">
        <v>304</v>
      </c>
      <c r="G71" s="132">
        <f>G70</f>
        <v>2</v>
      </c>
      <c r="H71" s="127" t="s">
        <v>91</v>
      </c>
    </row>
    <row r="72" spans="1:8" x14ac:dyDescent="0.25">
      <c r="A72" s="128"/>
      <c r="B72" s="128" t="s">
        <v>327</v>
      </c>
      <c r="C72" s="128" t="s">
        <v>313</v>
      </c>
      <c r="D72" s="128"/>
      <c r="E72" s="128"/>
      <c r="F72" s="128"/>
      <c r="G72" s="138"/>
      <c r="H72" s="128"/>
    </row>
    <row r="73" spans="1:8" x14ac:dyDescent="0.25">
      <c r="A73" s="127"/>
      <c r="B73" s="127" t="s">
        <v>119</v>
      </c>
      <c r="C73" s="127" t="s">
        <v>314</v>
      </c>
      <c r="D73" s="127" t="s">
        <v>323</v>
      </c>
      <c r="E73" s="127" t="s">
        <v>120</v>
      </c>
      <c r="F73" s="127">
        <v>221050505</v>
      </c>
      <c r="G73" s="132">
        <f>'NB MTO'!K22</f>
        <v>4.8</v>
      </c>
      <c r="H73" s="127" t="s">
        <v>238</v>
      </c>
    </row>
    <row r="74" spans="1:8" x14ac:dyDescent="0.25">
      <c r="A74" s="127"/>
      <c r="B74" s="127" t="s">
        <v>150</v>
      </c>
      <c r="C74" s="127" t="s">
        <v>196</v>
      </c>
      <c r="D74" s="127" t="s">
        <v>267</v>
      </c>
      <c r="E74" s="127" t="s">
        <v>64</v>
      </c>
      <c r="F74" s="127" t="s">
        <v>196</v>
      </c>
      <c r="G74" s="132">
        <f>'NB MTO'!I23</f>
        <v>8</v>
      </c>
      <c r="H74" s="127" t="s">
        <v>91</v>
      </c>
    </row>
    <row r="75" spans="1:8" x14ac:dyDescent="0.25">
      <c r="A75" s="127"/>
      <c r="B75" s="127" t="s">
        <v>151</v>
      </c>
      <c r="C75" s="127" t="s">
        <v>197</v>
      </c>
      <c r="D75" s="127" t="s">
        <v>226</v>
      </c>
      <c r="E75" s="127" t="s">
        <v>114</v>
      </c>
      <c r="F75" s="127" t="s">
        <v>197</v>
      </c>
      <c r="G75" s="132">
        <f>'NB MTO'!I24</f>
        <v>8</v>
      </c>
      <c r="H75" s="127" t="s">
        <v>91</v>
      </c>
    </row>
    <row r="76" spans="1:8" x14ac:dyDescent="0.25">
      <c r="A76" s="139"/>
      <c r="B76" s="139" t="s">
        <v>331</v>
      </c>
      <c r="C76" s="139" t="s">
        <v>336</v>
      </c>
      <c r="D76" s="139"/>
      <c r="E76" s="139"/>
      <c r="F76" s="139"/>
      <c r="G76" s="140"/>
      <c r="H76" s="139"/>
    </row>
    <row r="77" spans="1:8" x14ac:dyDescent="0.25">
      <c r="A77" s="127"/>
      <c r="B77" s="127" t="s">
        <v>328</v>
      </c>
      <c r="C77" s="127" t="s">
        <v>337</v>
      </c>
      <c r="D77" s="127" t="s">
        <v>338</v>
      </c>
      <c r="E77" s="127" t="s">
        <v>221</v>
      </c>
      <c r="F77" s="127">
        <v>276200110</v>
      </c>
      <c r="G77" s="132">
        <v>0.85</v>
      </c>
      <c r="H77" s="127" t="s">
        <v>123</v>
      </c>
    </row>
    <row r="78" spans="1:8" x14ac:dyDescent="0.25">
      <c r="A78" s="127"/>
      <c r="B78" s="127" t="s">
        <v>329</v>
      </c>
      <c r="C78" s="127" t="s">
        <v>332</v>
      </c>
      <c r="D78" s="127" t="s">
        <v>339</v>
      </c>
      <c r="E78" s="127" t="s">
        <v>97</v>
      </c>
      <c r="F78" s="127" t="s">
        <v>332</v>
      </c>
      <c r="G78" s="132">
        <v>1</v>
      </c>
      <c r="H78" s="127" t="s">
        <v>91</v>
      </c>
    </row>
    <row r="79" spans="1:8" x14ac:dyDescent="0.25">
      <c r="A79" s="127"/>
      <c r="B79" s="127" t="s">
        <v>330</v>
      </c>
      <c r="C79" s="127" t="s">
        <v>333</v>
      </c>
      <c r="D79" s="127" t="s">
        <v>340</v>
      </c>
      <c r="E79" s="127" t="s">
        <v>341</v>
      </c>
      <c r="F79" s="127" t="s">
        <v>333</v>
      </c>
      <c r="G79" s="132">
        <v>1</v>
      </c>
      <c r="H79" s="127" t="s">
        <v>91</v>
      </c>
    </row>
    <row r="80" spans="1:8" x14ac:dyDescent="0.25">
      <c r="A80" s="127"/>
      <c r="B80" s="127" t="s">
        <v>54</v>
      </c>
      <c r="C80" s="127" t="s">
        <v>334</v>
      </c>
      <c r="D80" s="127" t="s">
        <v>342</v>
      </c>
      <c r="E80" s="127" t="s">
        <v>64</v>
      </c>
      <c r="F80" s="127" t="s">
        <v>343</v>
      </c>
      <c r="G80" s="132">
        <v>1</v>
      </c>
      <c r="H80" s="127" t="s">
        <v>91</v>
      </c>
    </row>
    <row r="81" spans="1:8" x14ac:dyDescent="0.25">
      <c r="A81" s="127"/>
      <c r="B81" s="127" t="s">
        <v>55</v>
      </c>
      <c r="C81" s="127" t="s">
        <v>335</v>
      </c>
      <c r="D81" s="127" t="s">
        <v>344</v>
      </c>
      <c r="E81" s="127" t="s">
        <v>64</v>
      </c>
      <c r="F81" s="127" t="s">
        <v>335</v>
      </c>
      <c r="G81" s="132">
        <v>1</v>
      </c>
      <c r="H81" s="127" t="s">
        <v>91</v>
      </c>
    </row>
    <row r="82" spans="1:8" x14ac:dyDescent="0.25">
      <c r="A82" s="139"/>
      <c r="B82" s="139" t="s">
        <v>345</v>
      </c>
      <c r="C82" s="139" t="s">
        <v>390</v>
      </c>
      <c r="D82" s="139"/>
      <c r="E82" s="139"/>
      <c r="F82" s="139"/>
      <c r="G82" s="140"/>
      <c r="H82" s="139"/>
    </row>
    <row r="83" spans="1:8" x14ac:dyDescent="0.25">
      <c r="A83" s="127"/>
      <c r="B83" s="127" t="s">
        <v>346</v>
      </c>
      <c r="C83" s="127" t="s">
        <v>372</v>
      </c>
      <c r="D83" s="127" t="s">
        <v>391</v>
      </c>
      <c r="E83" s="127" t="s">
        <v>64</v>
      </c>
      <c r="F83" s="127">
        <v>140120100</v>
      </c>
      <c r="G83" s="132">
        <v>7.9</v>
      </c>
      <c r="H83" s="141" t="s">
        <v>238</v>
      </c>
    </row>
    <row r="84" spans="1:8" x14ac:dyDescent="0.25">
      <c r="A84" s="127"/>
      <c r="B84" s="127" t="s">
        <v>347</v>
      </c>
      <c r="C84" s="127" t="s">
        <v>373</v>
      </c>
      <c r="D84" s="127" t="s">
        <v>391</v>
      </c>
      <c r="E84" s="127" t="s">
        <v>64</v>
      </c>
      <c r="F84" s="127">
        <v>140120100</v>
      </c>
      <c r="G84" s="132">
        <v>7.5</v>
      </c>
      <c r="H84" s="141" t="s">
        <v>238</v>
      </c>
    </row>
    <row r="85" spans="1:8" x14ac:dyDescent="0.25">
      <c r="A85" s="127"/>
      <c r="B85" s="127" t="s">
        <v>348</v>
      </c>
      <c r="C85" s="127" t="s">
        <v>374</v>
      </c>
      <c r="D85" s="127" t="s">
        <v>211</v>
      </c>
      <c r="E85" s="127" t="s">
        <v>64</v>
      </c>
      <c r="F85" s="127">
        <v>140150100</v>
      </c>
      <c r="G85" s="132">
        <v>2.4</v>
      </c>
      <c r="H85" s="141" t="s">
        <v>238</v>
      </c>
    </row>
    <row r="86" spans="1:8" x14ac:dyDescent="0.25">
      <c r="A86" s="127"/>
      <c r="B86" s="127" t="s">
        <v>349</v>
      </c>
      <c r="C86" s="127" t="s">
        <v>375</v>
      </c>
      <c r="D86" s="127" t="s">
        <v>392</v>
      </c>
      <c r="E86" s="127" t="s">
        <v>393</v>
      </c>
      <c r="F86" s="127">
        <v>271100006</v>
      </c>
      <c r="G86" s="132">
        <v>0.1</v>
      </c>
      <c r="H86" s="141" t="s">
        <v>238</v>
      </c>
    </row>
    <row r="87" spans="1:8" x14ac:dyDescent="0.25">
      <c r="A87" s="127"/>
      <c r="B87" s="127" t="s">
        <v>350</v>
      </c>
      <c r="C87" s="127" t="s">
        <v>376</v>
      </c>
      <c r="D87" s="127" t="s">
        <v>218</v>
      </c>
      <c r="E87" s="127" t="s">
        <v>217</v>
      </c>
      <c r="F87" s="127">
        <v>130500125</v>
      </c>
      <c r="G87" s="132">
        <v>6.2799999999999995E-2</v>
      </c>
      <c r="H87" s="141" t="s">
        <v>238</v>
      </c>
    </row>
    <row r="88" spans="1:8" x14ac:dyDescent="0.25">
      <c r="A88" s="127"/>
      <c r="B88" s="127" t="s">
        <v>350</v>
      </c>
      <c r="C88" s="127" t="s">
        <v>377</v>
      </c>
      <c r="D88" s="127" t="s">
        <v>394</v>
      </c>
      <c r="E88" s="127" t="s">
        <v>217</v>
      </c>
      <c r="F88" s="127">
        <v>130300125</v>
      </c>
      <c r="G88" s="132">
        <v>3.7679999999999998E-2</v>
      </c>
      <c r="H88" s="141" t="s">
        <v>238</v>
      </c>
    </row>
    <row r="89" spans="1:8" x14ac:dyDescent="0.25">
      <c r="A89" s="127"/>
      <c r="B89" s="127" t="s">
        <v>351</v>
      </c>
      <c r="C89" s="127" t="s">
        <v>378</v>
      </c>
      <c r="D89" s="127" t="s">
        <v>395</v>
      </c>
      <c r="E89" s="127" t="s">
        <v>234</v>
      </c>
      <c r="F89" s="127">
        <v>199114000</v>
      </c>
      <c r="G89" s="132">
        <v>1</v>
      </c>
      <c r="H89" s="141" t="s">
        <v>411</v>
      </c>
    </row>
    <row r="90" spans="1:8" x14ac:dyDescent="0.25">
      <c r="A90" s="127"/>
      <c r="B90" s="127" t="s">
        <v>352</v>
      </c>
      <c r="C90" s="127" t="s">
        <v>379</v>
      </c>
      <c r="D90" s="127" t="s">
        <v>396</v>
      </c>
      <c r="E90" s="127" t="s">
        <v>97</v>
      </c>
      <c r="F90" s="127">
        <v>953800530</v>
      </c>
      <c r="G90" s="132">
        <v>3.5</v>
      </c>
      <c r="H90" s="141" t="s">
        <v>123</v>
      </c>
    </row>
    <row r="91" spans="1:8" x14ac:dyDescent="0.25">
      <c r="A91" s="127"/>
      <c r="B91" s="127" t="s">
        <v>127</v>
      </c>
      <c r="C91" s="127" t="s">
        <v>380</v>
      </c>
      <c r="D91" s="127" t="s">
        <v>397</v>
      </c>
      <c r="E91" s="127" t="s">
        <v>120</v>
      </c>
      <c r="F91" s="127">
        <v>231040080</v>
      </c>
      <c r="G91" s="132">
        <v>6.4028800000000006</v>
      </c>
      <c r="H91" s="141" t="s">
        <v>238</v>
      </c>
    </row>
    <row r="92" spans="1:8" x14ac:dyDescent="0.25">
      <c r="A92" s="127"/>
      <c r="B92" s="127" t="s">
        <v>51</v>
      </c>
      <c r="C92" s="127" t="s">
        <v>381</v>
      </c>
      <c r="D92" s="127" t="s">
        <v>397</v>
      </c>
      <c r="E92" s="127" t="s">
        <v>120</v>
      </c>
      <c r="F92" s="127">
        <v>231040080</v>
      </c>
      <c r="G92" s="132">
        <v>6.4028800000000006</v>
      </c>
      <c r="H92" s="141" t="s">
        <v>238</v>
      </c>
    </row>
    <row r="93" spans="1:8" x14ac:dyDescent="0.25">
      <c r="A93" s="127"/>
      <c r="B93" s="127" t="s">
        <v>353</v>
      </c>
      <c r="C93" s="127" t="s">
        <v>382</v>
      </c>
      <c r="D93" s="127" t="s">
        <v>398</v>
      </c>
      <c r="E93" s="127" t="s">
        <v>120</v>
      </c>
      <c r="F93" s="127">
        <v>231040040</v>
      </c>
      <c r="G93" s="132">
        <v>1.47</v>
      </c>
      <c r="H93" s="141" t="s">
        <v>238</v>
      </c>
    </row>
    <row r="94" spans="1:8" x14ac:dyDescent="0.25">
      <c r="A94" s="127"/>
      <c r="B94" s="127" t="s">
        <v>354</v>
      </c>
      <c r="C94" s="127" t="s">
        <v>366</v>
      </c>
      <c r="D94" s="127" t="s">
        <v>399</v>
      </c>
      <c r="E94" s="127" t="s">
        <v>341</v>
      </c>
      <c r="F94" s="127" t="s">
        <v>366</v>
      </c>
      <c r="G94" s="132">
        <v>1</v>
      </c>
      <c r="H94" s="142" t="s">
        <v>91</v>
      </c>
    </row>
    <row r="95" spans="1:8" x14ac:dyDescent="0.25">
      <c r="A95" s="127"/>
      <c r="B95" s="127" t="s">
        <v>355</v>
      </c>
      <c r="C95" s="127" t="s">
        <v>367</v>
      </c>
      <c r="D95" s="127" t="s">
        <v>400</v>
      </c>
      <c r="E95" s="127" t="s">
        <v>341</v>
      </c>
      <c r="F95" s="127" t="s">
        <v>367</v>
      </c>
      <c r="G95" s="132">
        <v>1</v>
      </c>
      <c r="H95" s="142" t="s">
        <v>91</v>
      </c>
    </row>
    <row r="96" spans="1:8" x14ac:dyDescent="0.25">
      <c r="A96" s="127"/>
      <c r="B96" s="127" t="s">
        <v>356</v>
      </c>
      <c r="C96" s="127" t="s">
        <v>368</v>
      </c>
      <c r="D96" s="127" t="s">
        <v>401</v>
      </c>
      <c r="E96" s="127" t="s">
        <v>64</v>
      </c>
      <c r="F96" s="127">
        <v>11150640</v>
      </c>
      <c r="G96" s="132">
        <v>1</v>
      </c>
      <c r="H96" s="142" t="s">
        <v>91</v>
      </c>
    </row>
    <row r="97" spans="1:8" x14ac:dyDescent="0.25">
      <c r="A97" s="127"/>
      <c r="B97" s="127" t="s">
        <v>357</v>
      </c>
      <c r="C97" s="127" t="s">
        <v>383</v>
      </c>
      <c r="D97" s="127" t="s">
        <v>402</v>
      </c>
      <c r="E97" s="127" t="s">
        <v>120</v>
      </c>
      <c r="F97" s="127">
        <v>251100014</v>
      </c>
      <c r="G97" s="132">
        <v>0.28999999999999998</v>
      </c>
      <c r="H97" s="141" t="s">
        <v>238</v>
      </c>
    </row>
    <row r="98" spans="1:8" x14ac:dyDescent="0.25">
      <c r="A98" s="127"/>
      <c r="B98" s="127" t="s">
        <v>358</v>
      </c>
      <c r="C98" s="127" t="s">
        <v>384</v>
      </c>
      <c r="D98" s="127" t="s">
        <v>403</v>
      </c>
      <c r="E98" s="127" t="s">
        <v>120</v>
      </c>
      <c r="F98" s="127">
        <v>251100016</v>
      </c>
      <c r="G98" s="132">
        <v>0.32200000000000001</v>
      </c>
      <c r="H98" s="141" t="s">
        <v>238</v>
      </c>
    </row>
    <row r="99" spans="1:8" x14ac:dyDescent="0.25">
      <c r="A99" s="127"/>
      <c r="B99" s="127" t="s">
        <v>359</v>
      </c>
      <c r="C99" s="127" t="s">
        <v>385</v>
      </c>
      <c r="D99" s="127" t="s">
        <v>218</v>
      </c>
      <c r="E99" s="127" t="s">
        <v>217</v>
      </c>
      <c r="F99" s="127">
        <v>130500125</v>
      </c>
      <c r="G99" s="132">
        <v>0.82424999999999993</v>
      </c>
      <c r="H99" s="141" t="s">
        <v>238</v>
      </c>
    </row>
    <row r="100" spans="1:8" x14ac:dyDescent="0.25">
      <c r="A100" s="127"/>
      <c r="B100" s="127" t="s">
        <v>360</v>
      </c>
      <c r="C100" s="127" t="s">
        <v>386</v>
      </c>
      <c r="D100" s="127" t="s">
        <v>218</v>
      </c>
      <c r="E100" s="127" t="s">
        <v>217</v>
      </c>
      <c r="F100" s="127">
        <v>130500125</v>
      </c>
      <c r="G100" s="132">
        <v>0.52987499999999987</v>
      </c>
      <c r="H100" s="141" t="s">
        <v>238</v>
      </c>
    </row>
    <row r="101" spans="1:8" x14ac:dyDescent="0.25">
      <c r="A101" s="127"/>
      <c r="B101" s="127" t="s">
        <v>54</v>
      </c>
      <c r="C101" s="127" t="s">
        <v>369</v>
      </c>
      <c r="D101" s="127" t="s">
        <v>404</v>
      </c>
      <c r="E101" s="127" t="s">
        <v>64</v>
      </c>
      <c r="F101" s="127" t="s">
        <v>369</v>
      </c>
      <c r="G101" s="132">
        <v>9</v>
      </c>
      <c r="H101" s="142" t="s">
        <v>91</v>
      </c>
    </row>
    <row r="102" spans="1:8" x14ac:dyDescent="0.25">
      <c r="A102" s="127"/>
      <c r="B102" s="127" t="s">
        <v>361</v>
      </c>
      <c r="C102" s="127" t="s">
        <v>370</v>
      </c>
      <c r="D102" s="127" t="s">
        <v>405</v>
      </c>
      <c r="E102" s="127" t="s">
        <v>64</v>
      </c>
      <c r="F102" s="127" t="s">
        <v>370</v>
      </c>
      <c r="G102" s="132">
        <v>9</v>
      </c>
      <c r="H102" s="142" t="s">
        <v>91</v>
      </c>
    </row>
    <row r="103" spans="1:8" x14ac:dyDescent="0.25">
      <c r="A103" s="127"/>
      <c r="B103" s="127" t="s">
        <v>362</v>
      </c>
      <c r="C103" s="127" t="s">
        <v>387</v>
      </c>
      <c r="D103" s="127" t="s">
        <v>406</v>
      </c>
      <c r="E103" s="127" t="s">
        <v>407</v>
      </c>
      <c r="F103" s="127">
        <v>312000003</v>
      </c>
      <c r="G103" s="132">
        <v>0.5</v>
      </c>
      <c r="H103" s="141" t="s">
        <v>411</v>
      </c>
    </row>
    <row r="104" spans="1:8" x14ac:dyDescent="0.25">
      <c r="A104" s="127"/>
      <c r="B104" s="127" t="s">
        <v>363</v>
      </c>
      <c r="C104" s="127" t="s">
        <v>388</v>
      </c>
      <c r="D104" s="127" t="s">
        <v>408</v>
      </c>
      <c r="E104" s="127" t="s">
        <v>112</v>
      </c>
      <c r="F104" s="127">
        <v>258180008</v>
      </c>
      <c r="G104" s="132">
        <v>0.09</v>
      </c>
      <c r="H104" s="141" t="s">
        <v>238</v>
      </c>
    </row>
    <row r="105" spans="1:8" x14ac:dyDescent="0.25">
      <c r="A105" s="127"/>
      <c r="B105" s="127" t="s">
        <v>364</v>
      </c>
      <c r="C105" s="127" t="s">
        <v>371</v>
      </c>
      <c r="D105" s="127" t="s">
        <v>409</v>
      </c>
      <c r="E105" s="127" t="s">
        <v>112</v>
      </c>
      <c r="F105" s="127" t="s">
        <v>371</v>
      </c>
      <c r="G105" s="132">
        <v>2</v>
      </c>
      <c r="H105" s="142" t="s">
        <v>91</v>
      </c>
    </row>
    <row r="106" spans="1:8" x14ac:dyDescent="0.25">
      <c r="A106" s="127"/>
      <c r="B106" s="127" t="s">
        <v>365</v>
      </c>
      <c r="C106" s="127" t="s">
        <v>389</v>
      </c>
      <c r="D106" s="127" t="s">
        <v>410</v>
      </c>
      <c r="E106" s="127" t="s">
        <v>112</v>
      </c>
      <c r="F106" s="127">
        <v>180150120</v>
      </c>
      <c r="G106" s="132">
        <v>1.65</v>
      </c>
      <c r="H106" s="14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Input Data</vt:lpstr>
      <vt:lpstr>El MTO</vt:lpstr>
      <vt:lpstr>AB MTO</vt:lpstr>
      <vt:lpstr>NB MTO</vt:lpstr>
      <vt:lpstr>Eliminator MTOP</vt:lpstr>
      <vt:lpstr>Eliminator Material Pricing</vt:lpstr>
      <vt:lpstr>Airbaffle MTOP</vt:lpstr>
      <vt:lpstr>Airbaffle Material Pricing</vt:lpstr>
      <vt:lpstr>Nozzle Bank MTOP</vt:lpstr>
      <vt:lpstr>Nozzle Ban Material Pricing</vt:lpstr>
      <vt:lpstr>Material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2020-09-26T07:12:25Z</dcterms:modified>
</cp:coreProperties>
</file>