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240" yWindow="105" windowWidth="14805" windowHeight="8010" activeTab="7"/>
  </bookViews>
  <sheets>
    <sheet name="Input" sheetId="5" r:id="rId1"/>
    <sheet name="MTO 1" sheetId="2" state="hidden" r:id="rId2"/>
    <sheet name="MTO 2" sheetId="8" state="hidden" r:id="rId3"/>
    <sheet name="MTO 3" sheetId="9" state="hidden" r:id="rId4"/>
    <sheet name="MTOP 1Row" sheetId="6" r:id="rId5"/>
    <sheet name="MTOP 2Row" sheetId="10" r:id="rId6"/>
    <sheet name="MTOP 3Row" sheetId="11" r:id="rId7"/>
    <sheet name="Material Pricing" sheetId="7" r:id="rId8"/>
  </sheets>
  <calcPr calcId="152511"/>
</workbook>
</file>

<file path=xl/calcChain.xml><?xml version="1.0" encoding="utf-8"?>
<calcChain xmlns="http://schemas.openxmlformats.org/spreadsheetml/2006/main">
  <c r="G9" i="11" l="1"/>
  <c r="O7" i="9"/>
  <c r="O7" i="8"/>
  <c r="G9" i="10"/>
  <c r="G9" i="6"/>
  <c r="M12" i="9" l="1"/>
  <c r="I11" i="9"/>
  <c r="I10" i="9"/>
  <c r="I9" i="9"/>
  <c r="M7" i="9"/>
  <c r="N7" i="9" s="1"/>
  <c r="J6" i="9"/>
  <c r="J5" i="9"/>
  <c r="J4" i="9"/>
  <c r="B3" i="9"/>
  <c r="D9" i="9" s="1"/>
  <c r="D11" i="9" s="1"/>
  <c r="D10" i="9" s="1"/>
  <c r="B2" i="9"/>
  <c r="B9" i="9" s="1"/>
  <c r="B11" i="9" s="1"/>
  <c r="M12" i="8"/>
  <c r="I11" i="8"/>
  <c r="I10" i="8"/>
  <c r="I9" i="8"/>
  <c r="N7" i="8"/>
  <c r="M7" i="8"/>
  <c r="J6" i="8"/>
  <c r="J5" i="8"/>
  <c r="J4" i="8"/>
  <c r="B3" i="8"/>
  <c r="D9" i="8" s="1"/>
  <c r="D11" i="8" s="1"/>
  <c r="D10" i="8" s="1"/>
  <c r="B2" i="8"/>
  <c r="B9" i="8" s="1"/>
  <c r="B11" i="8" s="1"/>
  <c r="B10" i="9" l="1"/>
  <c r="M6" i="9"/>
  <c r="M11" i="9"/>
  <c r="G12" i="11" s="1"/>
  <c r="M10" i="9"/>
  <c r="O10" i="9" s="1"/>
  <c r="G11" i="11" s="1"/>
  <c r="M9" i="9"/>
  <c r="G10" i="11" s="1"/>
  <c r="M5" i="9"/>
  <c r="M4" i="9"/>
  <c r="B13" i="9"/>
  <c r="M3" i="9"/>
  <c r="K8" i="9"/>
  <c r="K4" i="9"/>
  <c r="K4" i="8"/>
  <c r="K8" i="8"/>
  <c r="B13" i="8"/>
  <c r="M3" i="8"/>
  <c r="B10" i="8"/>
  <c r="M6" i="8"/>
  <c r="M11" i="8"/>
  <c r="G12" i="10" s="1"/>
  <c r="M10" i="8"/>
  <c r="O10" i="8" s="1"/>
  <c r="G11" i="10" s="1"/>
  <c r="M9" i="8"/>
  <c r="G10" i="10" s="1"/>
  <c r="M5" i="8"/>
  <c r="M4" i="8"/>
  <c r="N4" i="8" l="1"/>
  <c r="O4" i="8" s="1"/>
  <c r="G4" i="10" s="1"/>
  <c r="N4" i="9"/>
  <c r="O4" i="9" s="1"/>
  <c r="G4" i="11" s="1"/>
  <c r="R8" i="9"/>
  <c r="Q8" i="9"/>
  <c r="K3" i="9"/>
  <c r="N3" i="9" s="1"/>
  <c r="O3" i="9" s="1"/>
  <c r="G3" i="11" s="1"/>
  <c r="M8" i="9"/>
  <c r="S8" i="9" s="1"/>
  <c r="O8" i="9" s="1"/>
  <c r="G14" i="11" s="1"/>
  <c r="K6" i="9"/>
  <c r="N6" i="9" s="1"/>
  <c r="O6" i="9" s="1"/>
  <c r="G8" i="11" s="1"/>
  <c r="K5" i="9"/>
  <c r="N5" i="9" s="1"/>
  <c r="O5" i="9" s="1"/>
  <c r="G13" i="11" s="1"/>
  <c r="Q8" i="8"/>
  <c r="R8" i="8"/>
  <c r="K3" i="8"/>
  <c r="N3" i="8" s="1"/>
  <c r="O3" i="8" s="1"/>
  <c r="G3" i="10" s="1"/>
  <c r="M8" i="8"/>
  <c r="S8" i="8" s="1"/>
  <c r="O8" i="8" s="1"/>
  <c r="G14" i="10" s="1"/>
  <c r="K6" i="8"/>
  <c r="N6" i="8" s="1"/>
  <c r="O6" i="8" s="1"/>
  <c r="G8" i="10" s="1"/>
  <c r="K5" i="8"/>
  <c r="N5" i="8" s="1"/>
  <c r="O5" i="8" s="1"/>
  <c r="G13" i="10" s="1"/>
  <c r="B3" i="2" l="1"/>
  <c r="B2" i="2"/>
  <c r="M7" i="2" l="1"/>
  <c r="N7" i="2" s="1"/>
  <c r="O7" i="2" s="1"/>
  <c r="M12" i="2"/>
  <c r="J6" i="2" l="1"/>
  <c r="J4" i="2"/>
  <c r="I11" i="2" l="1"/>
  <c r="D9" i="2" l="1"/>
  <c r="B9" i="2"/>
  <c r="B11" i="2" s="1"/>
  <c r="I10" i="2"/>
  <c r="I9" i="2"/>
  <c r="J5" i="2" l="1"/>
  <c r="B10" i="2" l="1"/>
  <c r="D11" i="2"/>
  <c r="D10" i="2" s="1"/>
  <c r="K4" i="2" s="1"/>
  <c r="M3" i="2" l="1"/>
  <c r="K6" i="2"/>
  <c r="M8" i="2"/>
  <c r="S8" i="2" s="1"/>
  <c r="O8" i="2" s="1"/>
  <c r="G14" i="6" s="1"/>
  <c r="B13" i="2"/>
  <c r="M10" i="2"/>
  <c r="O10" i="2" s="1"/>
  <c r="G11" i="6" s="1"/>
  <c r="M11" i="2"/>
  <c r="M9" i="2"/>
  <c r="G10" i="6" s="1"/>
  <c r="G12" i="6" s="1"/>
  <c r="K8" i="2"/>
  <c r="M5" i="2"/>
  <c r="M6" i="2"/>
  <c r="M4" i="2"/>
  <c r="N4" i="2" s="1"/>
  <c r="O4" i="2" s="1"/>
  <c r="G4" i="6" s="1"/>
  <c r="K3" i="2"/>
  <c r="K5" i="2"/>
  <c r="Q8" i="2" l="1"/>
  <c r="R8" i="2"/>
  <c r="N6" i="2"/>
  <c r="O6" i="2" s="1"/>
  <c r="G8" i="6" s="1"/>
  <c r="N5" i="2"/>
  <c r="O5" i="2" s="1"/>
  <c r="G13" i="6" s="1"/>
  <c r="N3" i="2"/>
  <c r="O3" i="2" s="1"/>
  <c r="G3" i="6" s="1"/>
</calcChain>
</file>

<file path=xl/sharedStrings.xml><?xml version="1.0" encoding="utf-8"?>
<sst xmlns="http://schemas.openxmlformats.org/spreadsheetml/2006/main" count="436" uniqueCount="118">
  <si>
    <t>Pos.</t>
  </si>
  <si>
    <t>Plate</t>
  </si>
  <si>
    <t>Part</t>
  </si>
  <si>
    <t>Dimension</t>
  </si>
  <si>
    <t>Qty.</t>
  </si>
  <si>
    <t>Material</t>
  </si>
  <si>
    <t>Pipe</t>
  </si>
  <si>
    <t>Flange</t>
  </si>
  <si>
    <t>Input Data</t>
  </si>
  <si>
    <t>Width</t>
  </si>
  <si>
    <t>Description</t>
  </si>
  <si>
    <t>L</t>
  </si>
  <si>
    <t>N.W.</t>
  </si>
  <si>
    <t>G.W.</t>
  </si>
  <si>
    <t>Height</t>
  </si>
  <si>
    <t>W Frame</t>
  </si>
  <si>
    <t>in or out ?</t>
  </si>
  <si>
    <t>H Frame</t>
  </si>
  <si>
    <t>No of Sets:</t>
  </si>
  <si>
    <t>w</t>
  </si>
  <si>
    <t>h</t>
  </si>
  <si>
    <t>Nw</t>
  </si>
  <si>
    <t>Nh</t>
  </si>
  <si>
    <t>Tube Sheet</t>
  </si>
  <si>
    <t>Collector</t>
  </si>
  <si>
    <t>Flange Pipe</t>
  </si>
  <si>
    <t>a</t>
  </si>
  <si>
    <t>b</t>
  </si>
  <si>
    <t>تیوب شیت</t>
  </si>
  <si>
    <t>کلکتور</t>
  </si>
  <si>
    <t>No of Rows:</t>
  </si>
  <si>
    <t>ST 37</t>
  </si>
  <si>
    <t>1/2"</t>
  </si>
  <si>
    <t>-</t>
  </si>
  <si>
    <t>Flange Elbow</t>
  </si>
  <si>
    <t>Elbow</t>
  </si>
  <si>
    <t>Wp</t>
  </si>
  <si>
    <t>hp</t>
  </si>
  <si>
    <t>in</t>
  </si>
  <si>
    <t>No. of Blocks:</t>
  </si>
  <si>
    <t>End Plate</t>
  </si>
  <si>
    <t>Angle</t>
  </si>
  <si>
    <t>W Criteria:</t>
  </si>
  <si>
    <t>W</t>
  </si>
  <si>
    <t>H</t>
  </si>
  <si>
    <t>Code</t>
  </si>
  <si>
    <t>Material Description</t>
  </si>
  <si>
    <t>Spec</t>
  </si>
  <si>
    <t>Mat WHC</t>
  </si>
  <si>
    <t>QP</t>
  </si>
  <si>
    <t>Unit</t>
  </si>
  <si>
    <t>گالوانیزه</t>
  </si>
  <si>
    <t>آهن معمولی</t>
  </si>
  <si>
    <t>kg</t>
  </si>
  <si>
    <t>سیاه</t>
  </si>
  <si>
    <t>ورق گالوانیزه 1000*2</t>
  </si>
  <si>
    <t>ورق سیاه 1250*4</t>
  </si>
  <si>
    <t>Pcs</t>
  </si>
  <si>
    <t>Material Price</t>
  </si>
  <si>
    <t>نبشی قاب عرضی</t>
  </si>
  <si>
    <t>ناودانی قاب طولی</t>
  </si>
  <si>
    <t>صفحه بادگیر</t>
  </si>
  <si>
    <t>تسمه بادگیر</t>
  </si>
  <si>
    <t>نبشی اتصال</t>
  </si>
  <si>
    <t>درپوش کلکتور</t>
  </si>
  <si>
    <t>فلنج گلویی جوشی</t>
  </si>
  <si>
    <t>لوله کلکتور</t>
  </si>
  <si>
    <t>زانو کلکتور</t>
  </si>
  <si>
    <t>تیوب</t>
  </si>
  <si>
    <t>4404003/4</t>
  </si>
  <si>
    <t>060010101</t>
  </si>
  <si>
    <t>060010102</t>
  </si>
  <si>
    <t>060010103</t>
  </si>
  <si>
    <t>060010104</t>
  </si>
  <si>
    <t>060010205</t>
  </si>
  <si>
    <t>060020101</t>
  </si>
  <si>
    <t>060020102</t>
  </si>
  <si>
    <t>060030101</t>
  </si>
  <si>
    <t>060030102</t>
  </si>
  <si>
    <t>نبشی اهن 50*50</t>
  </si>
  <si>
    <t>فلنج گلویی جوشی 3/4</t>
  </si>
  <si>
    <t>لوله آهن 3/4</t>
  </si>
  <si>
    <t>زانو جوشی 3/4</t>
  </si>
  <si>
    <t>لوله آهن 1/2</t>
  </si>
  <si>
    <t>فلنج گلویی جوشی 1</t>
  </si>
  <si>
    <t>لوله آهن 1</t>
  </si>
  <si>
    <t>زانو جوشی 1</t>
  </si>
  <si>
    <t>4401010/0</t>
  </si>
  <si>
    <t>فلنج گلویی جوشی 1/4 1</t>
  </si>
  <si>
    <t>لوله آهن 1/4 1</t>
  </si>
  <si>
    <t>زانو جوشی 1/4 1</t>
  </si>
  <si>
    <t>4401011/4</t>
  </si>
  <si>
    <t>Scrap</t>
  </si>
  <si>
    <t>ورق سیاه 1500*6</t>
  </si>
  <si>
    <t>061010101</t>
  </si>
  <si>
    <t>061010102</t>
  </si>
  <si>
    <t>061010103</t>
  </si>
  <si>
    <t>061010104</t>
  </si>
  <si>
    <t>061010205</t>
  </si>
  <si>
    <t>061020101</t>
  </si>
  <si>
    <t>061020102</t>
  </si>
  <si>
    <t>061030101</t>
  </si>
  <si>
    <t>061030102</t>
  </si>
  <si>
    <t>062010101</t>
  </si>
  <si>
    <t>062010102</t>
  </si>
  <si>
    <t>062010103</t>
  </si>
  <si>
    <t>062010104</t>
  </si>
  <si>
    <t>062010205</t>
  </si>
  <si>
    <t>062020101</t>
  </si>
  <si>
    <t>062020102</t>
  </si>
  <si>
    <t>062030101</t>
  </si>
  <si>
    <t>062030102</t>
  </si>
  <si>
    <t>Coil 3Row</t>
  </si>
  <si>
    <t>Coil 2Row</t>
  </si>
  <si>
    <t>Coil 1Row</t>
  </si>
  <si>
    <t>062000000</t>
  </si>
  <si>
    <t>061000000</t>
  </si>
  <si>
    <t>060000000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</si>
</sst>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mbria"/>
      <family val="2"/>
      <scheme val="major"/>
    </font>
    <font>
      <sz val="10"/>
      <color theme="1"/>
      <name val="Calibri Light"/>
      <family val="2"/>
    </font>
    <font>
      <sz val="10"/>
      <name val="Cambria"/>
      <family val="2"/>
      <scheme val="major"/>
    </font>
    <font>
      <sz val="11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2" xfId="0" applyFont="1" applyBorder="1"/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8" xfId="0" applyFont="1" applyBorder="1"/>
    <xf numFmtId="0" fontId="2" fillId="0" borderId="16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5" xfId="0" applyFont="1" applyBorder="1"/>
    <xf numFmtId="0" fontId="2" fillId="0" borderId="7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6" xfId="0" applyFont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7" fillId="0" borderId="13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8" xfId="0" applyFont="1" applyBorder="1"/>
    <xf numFmtId="12" fontId="5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2" fontId="10" fillId="0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/>
    <xf numFmtId="9" fontId="0" fillId="0" borderId="0" xfId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4" fillId="0" borderId="16" xfId="0" applyNumberFormat="1" applyFont="1" applyBorder="1"/>
    <xf numFmtId="2" fontId="4" fillId="0" borderId="1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3" fillId="0" borderId="0" xfId="0" applyFont="1"/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2" max="2" width="17.140625" customWidth="1"/>
  </cols>
  <sheetData>
    <row r="1" spans="1:2" ht="21" x14ac:dyDescent="0.25">
      <c r="A1" s="54" t="s">
        <v>43</v>
      </c>
      <c r="B1" s="54"/>
    </row>
    <row r="2" spans="1:2" ht="21" x14ac:dyDescent="0.25">
      <c r="A2" s="54" t="s">
        <v>44</v>
      </c>
      <c r="B2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3"/>
  <sheetViews>
    <sheetView view="pageLayout" zoomScaleNormal="100" workbookViewId="0">
      <selection activeCell="Q5" sqref="Q5"/>
    </sheetView>
  </sheetViews>
  <sheetFormatPr defaultRowHeight="15" x14ac:dyDescent="0.25"/>
  <cols>
    <col min="1" max="1" width="10.42578125" customWidth="1"/>
    <col min="2" max="2" width="5.5703125" bestFit="1" customWidth="1"/>
    <col min="3" max="3" width="4.7109375" bestFit="1" customWidth="1"/>
    <col min="4" max="4" width="5.28515625" bestFit="1" customWidth="1"/>
    <col min="5" max="5" width="2.85546875" customWidth="1"/>
    <col min="6" max="6" width="4.28515625" bestFit="1" customWidth="1"/>
    <col min="7" max="7" width="10.5703125" customWidth="1"/>
    <col min="8" max="8" width="8.7109375" bestFit="1" customWidth="1"/>
    <col min="9" max="9" width="4.85546875" customWidth="1"/>
    <col min="10" max="10" width="5.140625" customWidth="1"/>
    <col min="11" max="11" width="5.5703125" bestFit="1" customWidth="1"/>
    <col min="13" max="13" width="4.85546875" bestFit="1" customWidth="1"/>
    <col min="14" max="14" width="5" customWidth="1"/>
    <col min="15" max="15" width="7.7109375" customWidth="1"/>
    <col min="16" max="16" width="7.28515625" customWidth="1"/>
    <col min="17" max="17" width="8.28515625" customWidth="1"/>
    <col min="18" max="18" width="8.42578125" customWidth="1"/>
    <col min="19" max="19" width="9" customWidth="1"/>
    <col min="21" max="21" width="7.28515625" customWidth="1"/>
  </cols>
  <sheetData>
    <row r="1" spans="1:20" ht="19.5" thickBot="1" x14ac:dyDescent="0.35">
      <c r="A1" s="3" t="s">
        <v>8</v>
      </c>
      <c r="B1" s="4"/>
      <c r="I1" s="2"/>
      <c r="J1" s="5" t="s">
        <v>3</v>
      </c>
      <c r="K1" s="6"/>
    </row>
    <row r="2" spans="1:20" ht="16.5" thickBot="1" x14ac:dyDescent="0.3">
      <c r="A2" s="7" t="s">
        <v>9</v>
      </c>
      <c r="B2" s="8">
        <f>Input!B1</f>
        <v>0</v>
      </c>
      <c r="F2" s="9" t="s">
        <v>0</v>
      </c>
      <c r="G2" s="10" t="s">
        <v>2</v>
      </c>
      <c r="H2" s="46" t="s">
        <v>10</v>
      </c>
      <c r="I2" s="10" t="s">
        <v>26</v>
      </c>
      <c r="J2" s="10" t="s">
        <v>27</v>
      </c>
      <c r="K2" s="10" t="s">
        <v>11</v>
      </c>
      <c r="L2" s="10" t="s">
        <v>5</v>
      </c>
      <c r="M2" s="10" t="s">
        <v>4</v>
      </c>
      <c r="N2" s="11" t="s">
        <v>12</v>
      </c>
      <c r="O2" s="48" t="s">
        <v>13</v>
      </c>
      <c r="P2" s="12" t="s">
        <v>92</v>
      </c>
      <c r="Q2" s="13"/>
      <c r="R2" s="14"/>
      <c r="S2" s="15"/>
      <c r="T2" s="1"/>
    </row>
    <row r="3" spans="1:20" ht="15.75" x14ac:dyDescent="0.25">
      <c r="A3" s="16" t="s">
        <v>14</v>
      </c>
      <c r="B3" s="17">
        <f>Input!B2</f>
        <v>0</v>
      </c>
      <c r="F3" s="18">
        <v>1</v>
      </c>
      <c r="G3" s="19" t="s">
        <v>15</v>
      </c>
      <c r="H3" s="19" t="s">
        <v>1</v>
      </c>
      <c r="I3" s="19">
        <v>4</v>
      </c>
      <c r="J3" s="19">
        <v>95</v>
      </c>
      <c r="K3" s="19">
        <f>B10+152</f>
        <v>152</v>
      </c>
      <c r="L3" s="19" t="s">
        <v>31</v>
      </c>
      <c r="M3" s="19">
        <f>B6*B11*D11*4</f>
        <v>4</v>
      </c>
      <c r="N3" s="20">
        <f>M3*K3*J3*I3*7.85/1000000</f>
        <v>1.8136639999999999</v>
      </c>
      <c r="O3" s="70">
        <f>N3*(1+P3)</f>
        <v>1.83180064</v>
      </c>
      <c r="P3" s="67">
        <v>0.01</v>
      </c>
      <c r="Q3" s="47"/>
      <c r="R3" s="1"/>
      <c r="S3" s="1"/>
      <c r="T3" s="1"/>
    </row>
    <row r="4" spans="1:20" ht="15.75" x14ac:dyDescent="0.25">
      <c r="A4" s="16" t="s">
        <v>16</v>
      </c>
      <c r="B4" s="17" t="s">
        <v>38</v>
      </c>
      <c r="F4" s="21">
        <v>2</v>
      </c>
      <c r="G4" s="22" t="s">
        <v>17</v>
      </c>
      <c r="H4" s="22" t="s">
        <v>1</v>
      </c>
      <c r="I4" s="22">
        <v>4</v>
      </c>
      <c r="J4" s="22">
        <f>255+((B5-1)*50)</f>
        <v>255</v>
      </c>
      <c r="K4" s="22">
        <f>D10+8</f>
        <v>8</v>
      </c>
      <c r="L4" s="22" t="s">
        <v>31</v>
      </c>
      <c r="M4" s="22">
        <f>B6*B11*D11*2</f>
        <v>2</v>
      </c>
      <c r="N4" s="23">
        <f>M4*K4*J4*I4*7.85/1000000</f>
        <v>0.128112</v>
      </c>
      <c r="O4" s="71">
        <f>N4*(1+P4)</f>
        <v>0.15629664000000001</v>
      </c>
      <c r="P4" s="67">
        <v>0.22</v>
      </c>
      <c r="Q4" s="47"/>
      <c r="R4" s="1"/>
      <c r="S4" s="1"/>
      <c r="T4" s="1"/>
    </row>
    <row r="5" spans="1:20" ht="15.75" x14ac:dyDescent="0.25">
      <c r="A5" s="49" t="s">
        <v>30</v>
      </c>
      <c r="B5" s="17">
        <v>1</v>
      </c>
      <c r="F5" s="21">
        <v>3</v>
      </c>
      <c r="G5" s="22" t="s">
        <v>23</v>
      </c>
      <c r="H5" s="22" t="s">
        <v>1</v>
      </c>
      <c r="I5" s="22">
        <v>6</v>
      </c>
      <c r="J5" s="22">
        <f>105+(B5-1)*50</f>
        <v>105</v>
      </c>
      <c r="K5" s="22">
        <f>B10+152</f>
        <v>152</v>
      </c>
      <c r="L5" s="22" t="s">
        <v>31</v>
      </c>
      <c r="M5" s="22">
        <f>B6*B11*D11*2</f>
        <v>2</v>
      </c>
      <c r="N5" s="23">
        <f>M5*K5*J5*I5*7.85/1000000</f>
        <v>1.5034320000000001</v>
      </c>
      <c r="O5" s="71">
        <f>N5*(1+P5)</f>
        <v>1.5786036000000001</v>
      </c>
      <c r="P5" s="67">
        <v>0.05</v>
      </c>
      <c r="Q5" s="47"/>
      <c r="R5" s="1"/>
      <c r="S5" s="1"/>
      <c r="T5" s="1"/>
    </row>
    <row r="6" spans="1:20" ht="16.5" thickBot="1" x14ac:dyDescent="0.3">
      <c r="A6" s="24" t="s">
        <v>18</v>
      </c>
      <c r="B6" s="25">
        <v>1</v>
      </c>
      <c r="F6" s="21">
        <v>4</v>
      </c>
      <c r="G6" s="22" t="s">
        <v>24</v>
      </c>
      <c r="H6" s="22" t="s">
        <v>1</v>
      </c>
      <c r="I6" s="22">
        <v>4</v>
      </c>
      <c r="J6" s="22">
        <f>IF(B5=1,105,0)+IF(B5=2,150,0)+IF(B5=3,205,0)</f>
        <v>105</v>
      </c>
      <c r="K6" s="22">
        <f>B10+152-20</f>
        <v>132</v>
      </c>
      <c r="L6" s="22" t="s">
        <v>31</v>
      </c>
      <c r="M6" s="22">
        <f>B6*B11*D11*2</f>
        <v>2</v>
      </c>
      <c r="N6" s="23">
        <f>M6*K6*J6*I6*7.85/1000000</f>
        <v>0.87040799999999996</v>
      </c>
      <c r="O6" s="71">
        <f>N6*(1+P6)</f>
        <v>0.94004063999999998</v>
      </c>
      <c r="P6" s="67">
        <v>0.08</v>
      </c>
      <c r="Q6" s="47"/>
      <c r="R6" s="1"/>
      <c r="S6" s="1"/>
      <c r="T6" s="1"/>
    </row>
    <row r="7" spans="1:20" ht="15.75" x14ac:dyDescent="0.25">
      <c r="F7" s="21">
        <v>5</v>
      </c>
      <c r="G7" s="22" t="s">
        <v>40</v>
      </c>
      <c r="H7" s="22" t="s">
        <v>1</v>
      </c>
      <c r="I7" s="22">
        <v>4</v>
      </c>
      <c r="J7" s="22">
        <v>70</v>
      </c>
      <c r="K7" s="22">
        <v>142</v>
      </c>
      <c r="L7" s="22" t="s">
        <v>31</v>
      </c>
      <c r="M7" s="22">
        <f>B6*4</f>
        <v>4</v>
      </c>
      <c r="N7" s="23">
        <f>M7*K7*J7*I7*7.85/1000000</f>
        <v>1.248464</v>
      </c>
      <c r="O7" s="72">
        <f>N7</f>
        <v>1.248464</v>
      </c>
      <c r="P7" s="67">
        <v>0.05</v>
      </c>
      <c r="Q7" s="1"/>
      <c r="R7" s="1"/>
      <c r="S7" s="1"/>
      <c r="T7" s="1"/>
    </row>
    <row r="8" spans="1:20" ht="16.5" thickBot="1" x14ac:dyDescent="0.3">
      <c r="A8" t="s">
        <v>42</v>
      </c>
      <c r="B8" s="53">
        <v>2200</v>
      </c>
      <c r="F8" s="21">
        <v>6</v>
      </c>
      <c r="G8" s="22" t="s">
        <v>6</v>
      </c>
      <c r="H8" s="22" t="s">
        <v>6</v>
      </c>
      <c r="I8" s="22" t="s">
        <v>32</v>
      </c>
      <c r="J8" s="22" t="s">
        <v>33</v>
      </c>
      <c r="K8" s="22">
        <f>D10+50</f>
        <v>50</v>
      </c>
      <c r="L8" s="26"/>
      <c r="M8" s="22">
        <f>B5*ROUNDUP((B10-28)/35,0)*B11*D11*B6</f>
        <v>-1</v>
      </c>
      <c r="N8" s="27"/>
      <c r="O8" s="55">
        <f>S8*7.2</f>
        <v>-7.2</v>
      </c>
      <c r="P8" s="68"/>
      <c r="Q8" s="1">
        <f>ROUNDDOWN(6000/K8,0)</f>
        <v>120</v>
      </c>
      <c r="R8" s="1">
        <f>6000/ROUNDDOWN(6000/K8,0)</f>
        <v>50</v>
      </c>
      <c r="S8" s="1">
        <f>ROUNDUP(M8/4,0)</f>
        <v>-1</v>
      </c>
      <c r="T8" s="1"/>
    </row>
    <row r="9" spans="1:20" ht="15.75" x14ac:dyDescent="0.25">
      <c r="A9" s="30" t="s">
        <v>19</v>
      </c>
      <c r="B9" s="31">
        <f>IF(B4="in",B2,B2-152)</f>
        <v>0</v>
      </c>
      <c r="C9" s="31" t="s">
        <v>20</v>
      </c>
      <c r="D9" s="32">
        <f>IF(B4="in",B3,B3-152)</f>
        <v>0</v>
      </c>
      <c r="E9" s="33"/>
      <c r="F9" s="21">
        <v>7</v>
      </c>
      <c r="G9" s="22" t="s">
        <v>7</v>
      </c>
      <c r="H9" s="22" t="s">
        <v>7</v>
      </c>
      <c r="I9" s="50">
        <f>3/4+(B5-1)*1/4</f>
        <v>0.75</v>
      </c>
      <c r="J9" s="22" t="s">
        <v>33</v>
      </c>
      <c r="K9" s="22" t="s">
        <v>33</v>
      </c>
      <c r="L9" s="29"/>
      <c r="M9" s="22">
        <f>B6*B11*D11*2</f>
        <v>2</v>
      </c>
      <c r="N9" s="27"/>
      <c r="O9" s="28"/>
      <c r="P9" s="69"/>
      <c r="Q9" s="1"/>
      <c r="R9" s="1"/>
      <c r="S9" s="1"/>
      <c r="T9" s="1"/>
    </row>
    <row r="10" spans="1:20" ht="15.75" x14ac:dyDescent="0.25">
      <c r="A10" s="35" t="s">
        <v>36</v>
      </c>
      <c r="B10" s="36">
        <f>IF(B11=2,(B9-2*76)/2,B9)</f>
        <v>0</v>
      </c>
      <c r="C10" s="37" t="s">
        <v>37</v>
      </c>
      <c r="D10" s="36">
        <f>IF(D11=2,(D9-2*76)/2,D9)</f>
        <v>0</v>
      </c>
      <c r="E10" s="38"/>
      <c r="F10" s="21">
        <v>8</v>
      </c>
      <c r="G10" s="29" t="s">
        <v>25</v>
      </c>
      <c r="H10" s="22" t="s">
        <v>6</v>
      </c>
      <c r="I10" s="50">
        <f>3/4+(B5-1)*1/4</f>
        <v>0.75</v>
      </c>
      <c r="J10" s="22" t="s">
        <v>33</v>
      </c>
      <c r="K10" s="22">
        <v>50</v>
      </c>
      <c r="L10" s="22"/>
      <c r="M10" s="22">
        <f>B6*B11*D11*2</f>
        <v>2</v>
      </c>
      <c r="N10" s="27"/>
      <c r="O10" s="28">
        <f>0.072*M10</f>
        <v>0.14399999999999999</v>
      </c>
      <c r="P10" s="67"/>
      <c r="Q10" s="1"/>
      <c r="R10" s="1"/>
      <c r="S10" s="1"/>
      <c r="T10" s="1"/>
    </row>
    <row r="11" spans="1:20" ht="16.5" thickBot="1" x14ac:dyDescent="0.3">
      <c r="A11" s="39" t="s">
        <v>21</v>
      </c>
      <c r="B11" s="40">
        <f>IF(B9&lt;=B8,1,2)</f>
        <v>1</v>
      </c>
      <c r="C11" s="40" t="s">
        <v>22</v>
      </c>
      <c r="D11" s="41">
        <f>IF(D9&lt;=2500,1,2)</f>
        <v>1</v>
      </c>
      <c r="E11" s="33"/>
      <c r="F11" s="21">
        <v>9</v>
      </c>
      <c r="G11" s="29" t="s">
        <v>34</v>
      </c>
      <c r="H11" s="22" t="s">
        <v>35</v>
      </c>
      <c r="I11" s="50">
        <f>3/4+(B5-1)*1/4</f>
        <v>0.75</v>
      </c>
      <c r="J11" s="22" t="s">
        <v>33</v>
      </c>
      <c r="K11" s="22" t="s">
        <v>33</v>
      </c>
      <c r="L11" s="29"/>
      <c r="M11" s="22">
        <f>B6*B11*D11*2</f>
        <v>2</v>
      </c>
      <c r="N11" s="27"/>
      <c r="O11" s="28"/>
      <c r="P11" s="67"/>
      <c r="Q11" s="1"/>
      <c r="R11" s="1"/>
      <c r="S11" s="1"/>
      <c r="T11" s="1"/>
    </row>
    <row r="12" spans="1:20" ht="16.5" thickBot="1" x14ac:dyDescent="0.3">
      <c r="F12" s="42">
        <v>10</v>
      </c>
      <c r="G12" s="43" t="s">
        <v>41</v>
      </c>
      <c r="H12" s="43" t="s">
        <v>41</v>
      </c>
      <c r="I12" s="43">
        <v>50</v>
      </c>
      <c r="J12" s="43">
        <v>50</v>
      </c>
      <c r="K12" s="43">
        <v>80</v>
      </c>
      <c r="L12" s="43"/>
      <c r="M12" s="43">
        <f>B6*4</f>
        <v>4</v>
      </c>
      <c r="N12" s="44"/>
      <c r="O12" s="45"/>
      <c r="P12" s="67"/>
      <c r="Q12" s="1"/>
      <c r="R12" s="1"/>
      <c r="S12" s="1"/>
      <c r="T12" s="1"/>
    </row>
    <row r="13" spans="1:20" ht="30" x14ac:dyDescent="0.25">
      <c r="A13" s="51" t="s">
        <v>39</v>
      </c>
      <c r="B13" s="52">
        <f>B11*D11</f>
        <v>1</v>
      </c>
    </row>
  </sheetData>
  <pageMargins left="0.15625" right="4.1666666666666664E-2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3"/>
  <sheetViews>
    <sheetView view="pageLayout" zoomScaleNormal="100" workbookViewId="0">
      <selection activeCell="Q5" sqref="Q5"/>
    </sheetView>
  </sheetViews>
  <sheetFormatPr defaultRowHeight="15" x14ac:dyDescent="0.25"/>
  <cols>
    <col min="1" max="1" width="10.42578125" customWidth="1"/>
    <col min="2" max="2" width="5.5703125" bestFit="1" customWidth="1"/>
    <col min="3" max="3" width="4.7109375" bestFit="1" customWidth="1"/>
    <col min="4" max="4" width="5.28515625" bestFit="1" customWidth="1"/>
    <col min="5" max="5" width="2.85546875" customWidth="1"/>
    <col min="6" max="6" width="4.28515625" bestFit="1" customWidth="1"/>
    <col min="7" max="7" width="10.5703125" customWidth="1"/>
    <col min="8" max="8" width="8.7109375" bestFit="1" customWidth="1"/>
    <col min="9" max="9" width="4.85546875" customWidth="1"/>
    <col min="10" max="10" width="5.140625" customWidth="1"/>
    <col min="11" max="11" width="5.5703125" bestFit="1" customWidth="1"/>
    <col min="13" max="13" width="4.85546875" bestFit="1" customWidth="1"/>
    <col min="14" max="14" width="5" customWidth="1"/>
    <col min="15" max="15" width="6.7109375" style="1" bestFit="1" customWidth="1"/>
    <col min="16" max="16" width="7.28515625" customWidth="1"/>
    <col min="17" max="17" width="8.28515625" customWidth="1"/>
    <col min="18" max="18" width="8.42578125" customWidth="1"/>
    <col min="19" max="19" width="9" customWidth="1"/>
    <col min="21" max="21" width="7.28515625" customWidth="1"/>
  </cols>
  <sheetData>
    <row r="1" spans="1:20" ht="19.5" thickBot="1" x14ac:dyDescent="0.35">
      <c r="A1" s="3" t="s">
        <v>8</v>
      </c>
      <c r="B1" s="4"/>
      <c r="I1" s="2"/>
      <c r="J1" s="5" t="s">
        <v>3</v>
      </c>
      <c r="K1" s="6"/>
    </row>
    <row r="2" spans="1:20" ht="16.5" thickBot="1" x14ac:dyDescent="0.3">
      <c r="A2" s="7" t="s">
        <v>9</v>
      </c>
      <c r="B2" s="8">
        <f>Input!B1</f>
        <v>0</v>
      </c>
      <c r="F2" s="9" t="s">
        <v>0</v>
      </c>
      <c r="G2" s="10" t="s">
        <v>2</v>
      </c>
      <c r="H2" s="46" t="s">
        <v>10</v>
      </c>
      <c r="I2" s="10" t="s">
        <v>26</v>
      </c>
      <c r="J2" s="10" t="s">
        <v>27</v>
      </c>
      <c r="K2" s="10" t="s">
        <v>11</v>
      </c>
      <c r="L2" s="10" t="s">
        <v>5</v>
      </c>
      <c r="M2" s="10" t="s">
        <v>4</v>
      </c>
      <c r="N2" s="11" t="s">
        <v>12</v>
      </c>
      <c r="O2" s="48" t="s">
        <v>13</v>
      </c>
      <c r="P2" s="12" t="s">
        <v>92</v>
      </c>
      <c r="Q2" s="13"/>
      <c r="R2" s="14"/>
      <c r="S2" s="15"/>
      <c r="T2" s="1"/>
    </row>
    <row r="3" spans="1:20" ht="15.75" x14ac:dyDescent="0.25">
      <c r="A3" s="16" t="s">
        <v>14</v>
      </c>
      <c r="B3" s="17">
        <f>Input!B2</f>
        <v>0</v>
      </c>
      <c r="F3" s="18">
        <v>1</v>
      </c>
      <c r="G3" s="19" t="s">
        <v>15</v>
      </c>
      <c r="H3" s="19" t="s">
        <v>1</v>
      </c>
      <c r="I3" s="19">
        <v>4</v>
      </c>
      <c r="J3" s="19">
        <v>95</v>
      </c>
      <c r="K3" s="19">
        <f>B10+152</f>
        <v>152</v>
      </c>
      <c r="L3" s="19" t="s">
        <v>31</v>
      </c>
      <c r="M3" s="19">
        <f>B6*B11*D11*4</f>
        <v>4</v>
      </c>
      <c r="N3" s="20">
        <f>M3*K3*J3*I3*7.85/1000000</f>
        <v>1.8136639999999999</v>
      </c>
      <c r="O3" s="70">
        <f>N3*(1+P3)</f>
        <v>1.83180064</v>
      </c>
      <c r="P3" s="67">
        <v>0.01</v>
      </c>
      <c r="Q3" s="47"/>
      <c r="R3" s="1"/>
      <c r="S3" s="1"/>
      <c r="T3" s="1"/>
    </row>
    <row r="4" spans="1:20" ht="15.75" x14ac:dyDescent="0.25">
      <c r="A4" s="16" t="s">
        <v>16</v>
      </c>
      <c r="B4" s="17" t="s">
        <v>38</v>
      </c>
      <c r="F4" s="21">
        <v>2</v>
      </c>
      <c r="G4" s="22" t="s">
        <v>17</v>
      </c>
      <c r="H4" s="22" t="s">
        <v>1</v>
      </c>
      <c r="I4" s="22">
        <v>4</v>
      </c>
      <c r="J4" s="22">
        <f>255+((B5-1)*50)</f>
        <v>305</v>
      </c>
      <c r="K4" s="22">
        <f>D10+8</f>
        <v>8</v>
      </c>
      <c r="L4" s="22" t="s">
        <v>31</v>
      </c>
      <c r="M4" s="22">
        <f>B6*B11*D11*2</f>
        <v>2</v>
      </c>
      <c r="N4" s="23">
        <f>M4*K4*J4*I4*7.85/1000000</f>
        <v>0.15323200000000001</v>
      </c>
      <c r="O4" s="71">
        <f>N4*(1+P4)</f>
        <v>0.15782896000000002</v>
      </c>
      <c r="P4" s="67">
        <v>0.03</v>
      </c>
      <c r="Q4" s="47"/>
      <c r="R4" s="1"/>
      <c r="S4" s="1"/>
      <c r="T4" s="1"/>
    </row>
    <row r="5" spans="1:20" ht="15.75" x14ac:dyDescent="0.25">
      <c r="A5" s="49" t="s">
        <v>30</v>
      </c>
      <c r="B5" s="17">
        <v>2</v>
      </c>
      <c r="F5" s="21">
        <v>3</v>
      </c>
      <c r="G5" s="22" t="s">
        <v>23</v>
      </c>
      <c r="H5" s="22" t="s">
        <v>1</v>
      </c>
      <c r="I5" s="22">
        <v>6</v>
      </c>
      <c r="J5" s="22">
        <f>105+(B5-1)*50</f>
        <v>155</v>
      </c>
      <c r="K5" s="22">
        <f>B10+152</f>
        <v>152</v>
      </c>
      <c r="L5" s="22" t="s">
        <v>31</v>
      </c>
      <c r="M5" s="22">
        <f>B6*B11*D11*2</f>
        <v>2</v>
      </c>
      <c r="N5" s="23">
        <f>M5*K5*J5*I5*7.85/1000000</f>
        <v>2.2193520000000002</v>
      </c>
      <c r="O5" s="71">
        <f>N5*(1+P5)</f>
        <v>2.4190936800000005</v>
      </c>
      <c r="P5" s="67">
        <v>0.09</v>
      </c>
      <c r="Q5" s="47"/>
      <c r="R5" s="1"/>
      <c r="S5" s="1"/>
      <c r="T5" s="1"/>
    </row>
    <row r="6" spans="1:20" ht="16.5" thickBot="1" x14ac:dyDescent="0.3">
      <c r="A6" s="24" t="s">
        <v>18</v>
      </c>
      <c r="B6" s="25">
        <v>1</v>
      </c>
      <c r="F6" s="21">
        <v>4</v>
      </c>
      <c r="G6" s="22" t="s">
        <v>24</v>
      </c>
      <c r="H6" s="22" t="s">
        <v>1</v>
      </c>
      <c r="I6" s="22">
        <v>4</v>
      </c>
      <c r="J6" s="22">
        <f>IF(B5=1,105,0)+IF(B5=2,150,0)+IF(B5=3,205,0)</f>
        <v>150</v>
      </c>
      <c r="K6" s="22">
        <f>B10+152-20</f>
        <v>132</v>
      </c>
      <c r="L6" s="22" t="s">
        <v>31</v>
      </c>
      <c r="M6" s="22">
        <f>B6*B11*D11*2</f>
        <v>2</v>
      </c>
      <c r="N6" s="23">
        <f>M6*K6*J6*I6*7.85/1000000</f>
        <v>1.2434400000000001</v>
      </c>
      <c r="O6" s="71">
        <f>N6*(1+P6)</f>
        <v>1.2683088</v>
      </c>
      <c r="P6" s="67">
        <v>0.02</v>
      </c>
      <c r="Q6" s="47"/>
      <c r="R6" s="1"/>
      <c r="S6" s="1"/>
      <c r="T6" s="1"/>
    </row>
    <row r="7" spans="1:20" ht="15.75" x14ac:dyDescent="0.25">
      <c r="F7" s="21">
        <v>5</v>
      </c>
      <c r="G7" s="22" t="s">
        <v>40</v>
      </c>
      <c r="H7" s="22" t="s">
        <v>1</v>
      </c>
      <c r="I7" s="22">
        <v>4</v>
      </c>
      <c r="J7" s="22">
        <v>70</v>
      </c>
      <c r="K7" s="22">
        <v>142</v>
      </c>
      <c r="L7" s="22" t="s">
        <v>31</v>
      </c>
      <c r="M7" s="22">
        <f>B6*4</f>
        <v>4</v>
      </c>
      <c r="N7" s="23">
        <f>M7*K7*J7*I7*7.85/1000000</f>
        <v>1.248464</v>
      </c>
      <c r="O7" s="73">
        <f>N7</f>
        <v>1.248464</v>
      </c>
      <c r="P7" s="67">
        <v>0.05</v>
      </c>
      <c r="Q7" s="1"/>
      <c r="R7" s="1"/>
      <c r="S7" s="1"/>
      <c r="T7" s="1"/>
    </row>
    <row r="8" spans="1:20" ht="16.5" thickBot="1" x14ac:dyDescent="0.3">
      <c r="A8" t="s">
        <v>42</v>
      </c>
      <c r="B8" s="53">
        <v>2200</v>
      </c>
      <c r="F8" s="21">
        <v>6</v>
      </c>
      <c r="G8" s="22" t="s">
        <v>6</v>
      </c>
      <c r="H8" s="22" t="s">
        <v>6</v>
      </c>
      <c r="I8" s="22" t="s">
        <v>32</v>
      </c>
      <c r="J8" s="22" t="s">
        <v>33</v>
      </c>
      <c r="K8" s="22">
        <f>D10+50</f>
        <v>50</v>
      </c>
      <c r="L8" s="26"/>
      <c r="M8" s="22">
        <f>B5*ROUNDUP((B10-28)/35,0)*B11*D11*B6</f>
        <v>-2</v>
      </c>
      <c r="N8" s="27"/>
      <c r="O8" s="55">
        <f>S8*7.2</f>
        <v>-7.2</v>
      </c>
      <c r="P8" s="68"/>
      <c r="Q8" s="1">
        <f>ROUNDDOWN(6000/K8,0)</f>
        <v>120</v>
      </c>
      <c r="R8" s="1">
        <f>6000/ROUNDDOWN(6000/K8,0)</f>
        <v>50</v>
      </c>
      <c r="S8" s="1">
        <f>ROUNDUP(M8/4,0)</f>
        <v>-1</v>
      </c>
      <c r="T8" s="1"/>
    </row>
    <row r="9" spans="1:20" ht="15.75" x14ac:dyDescent="0.25">
      <c r="A9" s="30" t="s">
        <v>19</v>
      </c>
      <c r="B9" s="31">
        <f>IF(B4="in",B2,B2-152)</f>
        <v>0</v>
      </c>
      <c r="C9" s="31" t="s">
        <v>20</v>
      </c>
      <c r="D9" s="32">
        <f>IF(B4="in",B3,B3-152)</f>
        <v>0</v>
      </c>
      <c r="E9" s="33"/>
      <c r="F9" s="21">
        <v>7</v>
      </c>
      <c r="G9" s="22" t="s">
        <v>7</v>
      </c>
      <c r="H9" s="22" t="s">
        <v>7</v>
      </c>
      <c r="I9" s="50">
        <f>3/4+(B5-1)*1/4</f>
        <v>1</v>
      </c>
      <c r="J9" s="22" t="s">
        <v>33</v>
      </c>
      <c r="K9" s="22" t="s">
        <v>33</v>
      </c>
      <c r="L9" s="29"/>
      <c r="M9" s="22">
        <f>B6*B11*D11*2</f>
        <v>2</v>
      </c>
      <c r="N9" s="27"/>
      <c r="O9" s="55"/>
      <c r="P9" s="69"/>
      <c r="Q9" s="1"/>
      <c r="R9" s="1"/>
      <c r="S9" s="1"/>
      <c r="T9" s="1"/>
    </row>
    <row r="10" spans="1:20" ht="15.75" x14ac:dyDescent="0.25">
      <c r="A10" s="35" t="s">
        <v>36</v>
      </c>
      <c r="B10" s="36">
        <f>IF(B11=2,(B9-2*76)/2,B9)</f>
        <v>0</v>
      </c>
      <c r="C10" s="37" t="s">
        <v>37</v>
      </c>
      <c r="D10" s="36">
        <f>IF(D11=2,(D9-2*76)/2,D9)</f>
        <v>0</v>
      </c>
      <c r="E10" s="38"/>
      <c r="F10" s="21">
        <v>8</v>
      </c>
      <c r="G10" s="29" t="s">
        <v>25</v>
      </c>
      <c r="H10" s="22" t="s">
        <v>6</v>
      </c>
      <c r="I10" s="50">
        <f>3/4+(B5-1)*1/4</f>
        <v>1</v>
      </c>
      <c r="J10" s="22" t="s">
        <v>33</v>
      </c>
      <c r="K10" s="22">
        <v>50</v>
      </c>
      <c r="L10" s="22"/>
      <c r="M10" s="22">
        <f>B6*B11*D11*2</f>
        <v>2</v>
      </c>
      <c r="N10" s="27"/>
      <c r="O10" s="55">
        <f>0.109*M10</f>
        <v>0.218</v>
      </c>
      <c r="P10" s="67"/>
      <c r="Q10" s="1"/>
      <c r="R10" s="1"/>
      <c r="S10" s="1"/>
      <c r="T10" s="1"/>
    </row>
    <row r="11" spans="1:20" ht="16.5" thickBot="1" x14ac:dyDescent="0.3">
      <c r="A11" s="39" t="s">
        <v>21</v>
      </c>
      <c r="B11" s="40">
        <f>IF(B9&lt;=B8,1,2)</f>
        <v>1</v>
      </c>
      <c r="C11" s="40" t="s">
        <v>22</v>
      </c>
      <c r="D11" s="41">
        <f>IF(D9&lt;=2500,1,2)</f>
        <v>1</v>
      </c>
      <c r="E11" s="33"/>
      <c r="F11" s="21">
        <v>9</v>
      </c>
      <c r="G11" s="29" t="s">
        <v>34</v>
      </c>
      <c r="H11" s="22" t="s">
        <v>35</v>
      </c>
      <c r="I11" s="50">
        <f>3/4+(B5-1)*1/4</f>
        <v>1</v>
      </c>
      <c r="J11" s="22" t="s">
        <v>33</v>
      </c>
      <c r="K11" s="22" t="s">
        <v>33</v>
      </c>
      <c r="L11" s="29"/>
      <c r="M11" s="22">
        <f>B6*B11*D11*2</f>
        <v>2</v>
      </c>
      <c r="N11" s="27"/>
      <c r="O11" s="55"/>
      <c r="P11" s="67"/>
      <c r="Q11" s="1"/>
      <c r="R11" s="1"/>
      <c r="S11" s="1"/>
      <c r="T11" s="1"/>
    </row>
    <row r="12" spans="1:20" ht="16.5" thickBot="1" x14ac:dyDescent="0.3">
      <c r="F12" s="42">
        <v>10</v>
      </c>
      <c r="G12" s="43" t="s">
        <v>41</v>
      </c>
      <c r="H12" s="43" t="s">
        <v>41</v>
      </c>
      <c r="I12" s="43">
        <v>50</v>
      </c>
      <c r="J12" s="43">
        <v>50</v>
      </c>
      <c r="K12" s="43">
        <v>80</v>
      </c>
      <c r="L12" s="43"/>
      <c r="M12" s="43">
        <f>B6*4</f>
        <v>4</v>
      </c>
      <c r="N12" s="44"/>
      <c r="O12" s="74"/>
      <c r="P12" s="67"/>
      <c r="Q12" s="1"/>
      <c r="R12" s="1"/>
      <c r="S12" s="1"/>
      <c r="T12" s="1"/>
    </row>
    <row r="13" spans="1:20" ht="30" x14ac:dyDescent="0.25">
      <c r="A13" s="51" t="s">
        <v>39</v>
      </c>
      <c r="B13" s="52">
        <f>B11*D11</f>
        <v>1</v>
      </c>
    </row>
  </sheetData>
  <pageMargins left="0.15625" right="4.1666666666666664E-2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"/>
  <sheetViews>
    <sheetView view="pageLayout" zoomScaleNormal="100" workbookViewId="0">
      <selection activeCell="Q5" sqref="Q5"/>
    </sheetView>
  </sheetViews>
  <sheetFormatPr defaultRowHeight="15" x14ac:dyDescent="0.25"/>
  <cols>
    <col min="1" max="1" width="10.42578125" customWidth="1"/>
    <col min="2" max="2" width="5.5703125" bestFit="1" customWidth="1"/>
    <col min="3" max="3" width="4.7109375" bestFit="1" customWidth="1"/>
    <col min="4" max="4" width="5.28515625" bestFit="1" customWidth="1"/>
    <col min="5" max="5" width="2.85546875" customWidth="1"/>
    <col min="6" max="6" width="4.28515625" bestFit="1" customWidth="1"/>
    <col min="7" max="7" width="10.5703125" customWidth="1"/>
    <col min="8" max="8" width="8.7109375" bestFit="1" customWidth="1"/>
    <col min="9" max="9" width="4.85546875" customWidth="1"/>
    <col min="10" max="10" width="5.140625" customWidth="1"/>
    <col min="11" max="11" width="5.5703125" bestFit="1" customWidth="1"/>
    <col min="13" max="13" width="4.85546875" bestFit="1" customWidth="1"/>
    <col min="14" max="14" width="5" customWidth="1"/>
    <col min="15" max="15" width="6.140625" customWidth="1"/>
    <col min="16" max="16" width="7.28515625" customWidth="1"/>
    <col min="17" max="17" width="8.28515625" customWidth="1"/>
    <col min="18" max="18" width="8.42578125" customWidth="1"/>
    <col min="19" max="19" width="9" customWidth="1"/>
    <col min="21" max="21" width="7.28515625" customWidth="1"/>
  </cols>
  <sheetData>
    <row r="1" spans="1:20" ht="19.5" thickBot="1" x14ac:dyDescent="0.35">
      <c r="A1" s="3" t="s">
        <v>8</v>
      </c>
      <c r="B1" s="4"/>
      <c r="I1" s="2"/>
      <c r="J1" s="5" t="s">
        <v>3</v>
      </c>
      <c r="K1" s="6"/>
    </row>
    <row r="2" spans="1:20" ht="16.5" thickBot="1" x14ac:dyDescent="0.3">
      <c r="A2" s="7" t="s">
        <v>9</v>
      </c>
      <c r="B2" s="8">
        <f>Input!B1</f>
        <v>0</v>
      </c>
      <c r="F2" s="9" t="s">
        <v>0</v>
      </c>
      <c r="G2" s="10" t="s">
        <v>2</v>
      </c>
      <c r="H2" s="46" t="s">
        <v>10</v>
      </c>
      <c r="I2" s="10" t="s">
        <v>26</v>
      </c>
      <c r="J2" s="10" t="s">
        <v>27</v>
      </c>
      <c r="K2" s="10" t="s">
        <v>11</v>
      </c>
      <c r="L2" s="10" t="s">
        <v>5</v>
      </c>
      <c r="M2" s="10" t="s">
        <v>4</v>
      </c>
      <c r="N2" s="11" t="s">
        <v>12</v>
      </c>
      <c r="O2" s="48" t="s">
        <v>13</v>
      </c>
      <c r="P2" s="12" t="s">
        <v>92</v>
      </c>
      <c r="Q2" s="13"/>
      <c r="R2" s="14"/>
      <c r="S2" s="15"/>
      <c r="T2" s="1"/>
    </row>
    <row r="3" spans="1:20" ht="15.75" x14ac:dyDescent="0.25">
      <c r="A3" s="16" t="s">
        <v>14</v>
      </c>
      <c r="B3" s="17">
        <f>Input!B2</f>
        <v>0</v>
      </c>
      <c r="F3" s="18">
        <v>1</v>
      </c>
      <c r="G3" s="19" t="s">
        <v>15</v>
      </c>
      <c r="H3" s="19" t="s">
        <v>1</v>
      </c>
      <c r="I3" s="19">
        <v>4</v>
      </c>
      <c r="J3" s="19">
        <v>95</v>
      </c>
      <c r="K3" s="19">
        <f>B10+152</f>
        <v>152</v>
      </c>
      <c r="L3" s="19" t="s">
        <v>31</v>
      </c>
      <c r="M3" s="19">
        <f>B6*B11*D11*4</f>
        <v>4</v>
      </c>
      <c r="N3" s="20">
        <f>M3*K3*J3*I3*7.85/1000000</f>
        <v>1.8136639999999999</v>
      </c>
      <c r="O3" s="70">
        <f>N3*(1+P3)</f>
        <v>1.84993728</v>
      </c>
      <c r="P3" s="67">
        <v>0.02</v>
      </c>
      <c r="Q3" s="47"/>
      <c r="R3" s="1"/>
      <c r="S3" s="1"/>
      <c r="T3" s="1"/>
    </row>
    <row r="4" spans="1:20" ht="15.75" x14ac:dyDescent="0.25">
      <c r="A4" s="16" t="s">
        <v>16</v>
      </c>
      <c r="B4" s="17" t="s">
        <v>38</v>
      </c>
      <c r="F4" s="21">
        <v>2</v>
      </c>
      <c r="G4" s="22" t="s">
        <v>17</v>
      </c>
      <c r="H4" s="22" t="s">
        <v>1</v>
      </c>
      <c r="I4" s="22">
        <v>4</v>
      </c>
      <c r="J4" s="22">
        <f>255+((B5-1)*50)</f>
        <v>355</v>
      </c>
      <c r="K4" s="22">
        <f>D10+8</f>
        <v>8</v>
      </c>
      <c r="L4" s="22" t="s">
        <v>31</v>
      </c>
      <c r="M4" s="22">
        <f>B6*B11*D11*2</f>
        <v>2</v>
      </c>
      <c r="N4" s="23">
        <f>M4*K4*J4*I4*7.85/1000000</f>
        <v>0.17835200000000001</v>
      </c>
      <c r="O4" s="71">
        <f>N4*(1+P4)</f>
        <v>0.20867184</v>
      </c>
      <c r="P4" s="67">
        <v>0.17</v>
      </c>
      <c r="Q4" s="47"/>
      <c r="R4" s="1"/>
      <c r="S4" s="1"/>
      <c r="T4" s="1"/>
    </row>
    <row r="5" spans="1:20" ht="15.75" x14ac:dyDescent="0.25">
      <c r="A5" s="49" t="s">
        <v>30</v>
      </c>
      <c r="B5" s="17">
        <v>3</v>
      </c>
      <c r="F5" s="21">
        <v>3</v>
      </c>
      <c r="G5" s="22" t="s">
        <v>23</v>
      </c>
      <c r="H5" s="22" t="s">
        <v>1</v>
      </c>
      <c r="I5" s="22">
        <v>6</v>
      </c>
      <c r="J5" s="22">
        <f>105+(B5-1)*50</f>
        <v>205</v>
      </c>
      <c r="K5" s="22">
        <f>B10+152</f>
        <v>152</v>
      </c>
      <c r="L5" s="22" t="s">
        <v>31</v>
      </c>
      <c r="M5" s="22">
        <f>B6*B11*D11*2</f>
        <v>2</v>
      </c>
      <c r="N5" s="23">
        <f>M5*K5*J5*I5*7.85/1000000</f>
        <v>2.9352719999999999</v>
      </c>
      <c r="O5" s="71">
        <f>N5*(1+P5)</f>
        <v>3.0820356000000002</v>
      </c>
      <c r="P5" s="67">
        <v>0.05</v>
      </c>
      <c r="Q5" s="47"/>
      <c r="R5" s="1"/>
      <c r="S5" s="1"/>
      <c r="T5" s="1"/>
    </row>
    <row r="6" spans="1:20" ht="16.5" thickBot="1" x14ac:dyDescent="0.3">
      <c r="A6" s="24" t="s">
        <v>18</v>
      </c>
      <c r="B6" s="25">
        <v>1</v>
      </c>
      <c r="F6" s="21">
        <v>4</v>
      </c>
      <c r="G6" s="22" t="s">
        <v>24</v>
      </c>
      <c r="H6" s="22" t="s">
        <v>1</v>
      </c>
      <c r="I6" s="22">
        <v>4</v>
      </c>
      <c r="J6" s="22">
        <f>IF(B5=1,105,0)+IF(B5=2,150,0)+IF(B5=3,205,0)</f>
        <v>205</v>
      </c>
      <c r="K6" s="22">
        <f>B10+152-20</f>
        <v>132</v>
      </c>
      <c r="L6" s="22" t="s">
        <v>31</v>
      </c>
      <c r="M6" s="22">
        <f>B6*B11*D11*2</f>
        <v>2</v>
      </c>
      <c r="N6" s="23">
        <f>M6*K6*J6*I6*7.85/1000000</f>
        <v>1.699368</v>
      </c>
      <c r="O6" s="71">
        <f>N6*(1+P6)</f>
        <v>1.9542731999999998</v>
      </c>
      <c r="P6" s="67">
        <v>0.15</v>
      </c>
      <c r="Q6" s="47"/>
      <c r="R6" s="1"/>
      <c r="S6" s="1"/>
      <c r="T6" s="1"/>
    </row>
    <row r="7" spans="1:20" ht="15.75" x14ac:dyDescent="0.25">
      <c r="F7" s="21">
        <v>5</v>
      </c>
      <c r="G7" s="22" t="s">
        <v>40</v>
      </c>
      <c r="H7" s="22" t="s">
        <v>1</v>
      </c>
      <c r="I7" s="22">
        <v>4</v>
      </c>
      <c r="J7" s="22">
        <v>70</v>
      </c>
      <c r="K7" s="22">
        <v>142</v>
      </c>
      <c r="L7" s="22" t="s">
        <v>31</v>
      </c>
      <c r="M7" s="22">
        <f>B6*4</f>
        <v>4</v>
      </c>
      <c r="N7" s="23">
        <f>M7*K7*J7*I7*7.85/1000000</f>
        <v>1.248464</v>
      </c>
      <c r="O7" s="71">
        <f>N7*(1+P7)</f>
        <v>1.3108872</v>
      </c>
      <c r="P7" s="67">
        <v>0.05</v>
      </c>
      <c r="Q7" s="1"/>
      <c r="R7" s="1"/>
      <c r="S7" s="1"/>
      <c r="T7" s="1"/>
    </row>
    <row r="8" spans="1:20" ht="16.5" thickBot="1" x14ac:dyDescent="0.3">
      <c r="A8" t="s">
        <v>42</v>
      </c>
      <c r="B8" s="53">
        <v>2200</v>
      </c>
      <c r="F8" s="21">
        <v>6</v>
      </c>
      <c r="G8" s="22" t="s">
        <v>6</v>
      </c>
      <c r="H8" s="22" t="s">
        <v>6</v>
      </c>
      <c r="I8" s="22" t="s">
        <v>32</v>
      </c>
      <c r="J8" s="22" t="s">
        <v>33</v>
      </c>
      <c r="K8" s="22">
        <f>D10+50</f>
        <v>50</v>
      </c>
      <c r="L8" s="26"/>
      <c r="M8" s="22">
        <f>B5*ROUNDUP((B10-28)/35,0)*B11*D11*B6</f>
        <v>-3</v>
      </c>
      <c r="N8" s="27"/>
      <c r="O8" s="55">
        <f>S8*7.2</f>
        <v>-7.2</v>
      </c>
      <c r="Q8" s="1">
        <f>ROUNDDOWN(6000/K8,0)</f>
        <v>120</v>
      </c>
      <c r="R8" s="1">
        <f>6000/ROUNDDOWN(6000/K8,0)</f>
        <v>50</v>
      </c>
      <c r="S8" s="1">
        <f>ROUNDUP(M8/4,0)</f>
        <v>-1</v>
      </c>
      <c r="T8" s="1"/>
    </row>
    <row r="9" spans="1:20" ht="15.75" x14ac:dyDescent="0.25">
      <c r="A9" s="30" t="s">
        <v>19</v>
      </c>
      <c r="B9" s="31">
        <f>IF(B4="in",B2,B2-152)</f>
        <v>0</v>
      </c>
      <c r="C9" s="31" t="s">
        <v>20</v>
      </c>
      <c r="D9" s="32">
        <f>IF(B4="in",B3,B3-152)</f>
        <v>0</v>
      </c>
      <c r="E9" s="33"/>
      <c r="F9" s="21">
        <v>7</v>
      </c>
      <c r="G9" s="22" t="s">
        <v>7</v>
      </c>
      <c r="H9" s="22" t="s">
        <v>7</v>
      </c>
      <c r="I9" s="50">
        <f>3/4+(B5-1)*1/4</f>
        <v>1.25</v>
      </c>
      <c r="J9" s="22" t="s">
        <v>33</v>
      </c>
      <c r="K9" s="22" t="s">
        <v>33</v>
      </c>
      <c r="L9" s="29"/>
      <c r="M9" s="22">
        <f>B6*B11*D11*2</f>
        <v>2</v>
      </c>
      <c r="N9" s="27"/>
      <c r="O9" s="28"/>
      <c r="P9" s="34"/>
      <c r="Q9" s="1"/>
      <c r="R9" s="1"/>
      <c r="S9" s="1"/>
      <c r="T9" s="1"/>
    </row>
    <row r="10" spans="1:20" ht="15.75" x14ac:dyDescent="0.25">
      <c r="A10" s="35" t="s">
        <v>36</v>
      </c>
      <c r="B10" s="36">
        <f>IF(B11=2,(B9-2*76)/2,B9)</f>
        <v>0</v>
      </c>
      <c r="C10" s="37" t="s">
        <v>37</v>
      </c>
      <c r="D10" s="36">
        <f>IF(D11=2,(D9-2*76)/2,D9)</f>
        <v>0</v>
      </c>
      <c r="E10" s="38"/>
      <c r="F10" s="21">
        <v>8</v>
      </c>
      <c r="G10" s="29" t="s">
        <v>25</v>
      </c>
      <c r="H10" s="22" t="s">
        <v>6</v>
      </c>
      <c r="I10" s="50">
        <f>3/4+(B5-1)*1/4</f>
        <v>1.25</v>
      </c>
      <c r="J10" s="22" t="s">
        <v>33</v>
      </c>
      <c r="K10" s="22">
        <v>50</v>
      </c>
      <c r="L10" s="22"/>
      <c r="M10" s="22">
        <f>B6*B11*D11*2</f>
        <v>2</v>
      </c>
      <c r="N10" s="27"/>
      <c r="O10" s="28">
        <f>0.1435*M10</f>
        <v>0.28699999999999998</v>
      </c>
      <c r="P10" s="1"/>
      <c r="Q10" s="1"/>
      <c r="R10" s="1"/>
      <c r="S10" s="1"/>
      <c r="T10" s="1"/>
    </row>
    <row r="11" spans="1:20" ht="16.5" thickBot="1" x14ac:dyDescent="0.3">
      <c r="A11" s="39" t="s">
        <v>21</v>
      </c>
      <c r="B11" s="40">
        <f>IF(B9&lt;=B8,1,2)</f>
        <v>1</v>
      </c>
      <c r="C11" s="40" t="s">
        <v>22</v>
      </c>
      <c r="D11" s="41">
        <f>IF(D9&lt;=2500,1,2)</f>
        <v>1</v>
      </c>
      <c r="E11" s="33"/>
      <c r="F11" s="21">
        <v>9</v>
      </c>
      <c r="G11" s="29" t="s">
        <v>34</v>
      </c>
      <c r="H11" s="22" t="s">
        <v>35</v>
      </c>
      <c r="I11" s="50">
        <f>3/4+(B5-1)*1/4</f>
        <v>1.25</v>
      </c>
      <c r="J11" s="22" t="s">
        <v>33</v>
      </c>
      <c r="K11" s="22" t="s">
        <v>33</v>
      </c>
      <c r="L11" s="29"/>
      <c r="M11" s="22">
        <f>B6*B11*D11*2</f>
        <v>2</v>
      </c>
      <c r="N11" s="27"/>
      <c r="O11" s="28"/>
      <c r="P11" s="1"/>
      <c r="Q11" s="1"/>
      <c r="R11" s="1"/>
      <c r="S11" s="1"/>
      <c r="T11" s="1"/>
    </row>
    <row r="12" spans="1:20" ht="16.5" thickBot="1" x14ac:dyDescent="0.3">
      <c r="F12" s="42">
        <v>10</v>
      </c>
      <c r="G12" s="43" t="s">
        <v>41</v>
      </c>
      <c r="H12" s="43" t="s">
        <v>41</v>
      </c>
      <c r="I12" s="43">
        <v>50</v>
      </c>
      <c r="J12" s="43">
        <v>50</v>
      </c>
      <c r="K12" s="43">
        <v>80</v>
      </c>
      <c r="L12" s="43"/>
      <c r="M12" s="43">
        <f>B6*4</f>
        <v>4</v>
      </c>
      <c r="N12" s="44"/>
      <c r="O12" s="45"/>
      <c r="P12" s="1"/>
      <c r="Q12" s="1"/>
      <c r="R12" s="1"/>
      <c r="S12" s="1"/>
      <c r="T12" s="1"/>
    </row>
    <row r="13" spans="1:20" ht="30" x14ac:dyDescent="0.25">
      <c r="A13" s="51" t="s">
        <v>39</v>
      </c>
      <c r="B13" s="52">
        <f>B11*D11</f>
        <v>1</v>
      </c>
    </row>
  </sheetData>
  <pageMargins left="0.15625" right="4.1666666666666664E-2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1" sqref="E11"/>
    </sheetView>
  </sheetViews>
  <sheetFormatPr defaultRowHeight="15" x14ac:dyDescent="0.25"/>
  <cols>
    <col min="1" max="1" width="4.140625" bestFit="1" customWidth="1"/>
    <col min="2" max="2" width="22.85546875" bestFit="1" customWidth="1"/>
    <col min="3" max="3" width="11.7109375" bestFit="1" customWidth="1"/>
    <col min="4" max="4" width="34" bestFit="1" customWidth="1"/>
    <col min="5" max="5" width="8.85546875" bestFit="1" customWidth="1"/>
    <col min="6" max="6" width="16.5703125" bestFit="1" customWidth="1"/>
    <col min="7" max="7" width="7.42578125" bestFit="1" customWidth="1"/>
    <col min="8" max="8" width="4.85546875" bestFit="1" customWidth="1"/>
  </cols>
  <sheetData>
    <row r="1" spans="1:8" ht="25.5" x14ac:dyDescent="0.25">
      <c r="A1" s="56" t="s">
        <v>0</v>
      </c>
      <c r="B1" s="56" t="s">
        <v>10</v>
      </c>
      <c r="C1" s="56" t="s">
        <v>45</v>
      </c>
      <c r="D1" s="57" t="s">
        <v>46</v>
      </c>
      <c r="E1" s="57" t="s">
        <v>47</v>
      </c>
      <c r="F1" s="58" t="s">
        <v>48</v>
      </c>
      <c r="G1" s="59" t="s">
        <v>49</v>
      </c>
      <c r="H1" s="56" t="s">
        <v>50</v>
      </c>
    </row>
    <row r="2" spans="1:8" x14ac:dyDescent="0.25">
      <c r="A2" s="60"/>
      <c r="B2" s="61" t="s">
        <v>114</v>
      </c>
      <c r="C2" s="61" t="s">
        <v>117</v>
      </c>
      <c r="D2" s="61"/>
      <c r="E2" s="61"/>
      <c r="F2" s="61"/>
      <c r="G2" s="61"/>
      <c r="H2" s="66"/>
    </row>
    <row r="3" spans="1:8" x14ac:dyDescent="0.25">
      <c r="A3" s="62"/>
      <c r="B3" s="63" t="s">
        <v>59</v>
      </c>
      <c r="C3" s="63" t="s">
        <v>70</v>
      </c>
      <c r="D3" s="64" t="s">
        <v>56</v>
      </c>
      <c r="E3" s="64" t="s">
        <v>54</v>
      </c>
      <c r="F3" s="64">
        <v>130400125</v>
      </c>
      <c r="G3" s="65">
        <f>'MTO 1'!O3</f>
        <v>1.83180064</v>
      </c>
      <c r="H3" s="65" t="s">
        <v>53</v>
      </c>
    </row>
    <row r="4" spans="1:8" x14ac:dyDescent="0.25">
      <c r="A4" s="62"/>
      <c r="B4" s="63" t="s">
        <v>60</v>
      </c>
      <c r="C4" s="63" t="s">
        <v>71</v>
      </c>
      <c r="D4" s="64" t="s">
        <v>56</v>
      </c>
      <c r="E4" s="64" t="s">
        <v>54</v>
      </c>
      <c r="F4" s="64">
        <v>130400125</v>
      </c>
      <c r="G4" s="65">
        <f>'MTO 1'!O4</f>
        <v>0.15629664000000001</v>
      </c>
      <c r="H4" s="65" t="s">
        <v>53</v>
      </c>
    </row>
    <row r="5" spans="1:8" x14ac:dyDescent="0.25">
      <c r="A5" s="62"/>
      <c r="B5" s="63" t="s">
        <v>61</v>
      </c>
      <c r="C5" s="63" t="s">
        <v>72</v>
      </c>
      <c r="D5" s="64" t="s">
        <v>55</v>
      </c>
      <c r="E5" s="64" t="s">
        <v>51</v>
      </c>
      <c r="F5" s="64">
        <v>140200100</v>
      </c>
      <c r="G5" s="65">
        <v>1.4129999999999998</v>
      </c>
      <c r="H5" s="65" t="s">
        <v>53</v>
      </c>
    </row>
    <row r="6" spans="1:8" x14ac:dyDescent="0.25">
      <c r="A6" s="62"/>
      <c r="B6" s="63" t="s">
        <v>62</v>
      </c>
      <c r="C6" s="63" t="s">
        <v>73</v>
      </c>
      <c r="D6" s="64" t="s">
        <v>55</v>
      </c>
      <c r="E6" s="64" t="s">
        <v>51</v>
      </c>
      <c r="F6" s="64">
        <v>140200100</v>
      </c>
      <c r="G6" s="65">
        <v>2.3832599999999999</v>
      </c>
      <c r="H6" s="65" t="s">
        <v>53</v>
      </c>
    </row>
    <row r="7" spans="1:8" x14ac:dyDescent="0.25">
      <c r="A7" s="62"/>
      <c r="B7" s="63" t="s">
        <v>63</v>
      </c>
      <c r="C7" s="63" t="s">
        <v>74</v>
      </c>
      <c r="D7" s="64" t="s">
        <v>79</v>
      </c>
      <c r="E7" s="64" t="s">
        <v>52</v>
      </c>
      <c r="F7" s="64">
        <v>221050505</v>
      </c>
      <c r="G7" s="65">
        <v>2.4</v>
      </c>
      <c r="H7" s="65" t="s">
        <v>53</v>
      </c>
    </row>
    <row r="8" spans="1:8" x14ac:dyDescent="0.25">
      <c r="A8" s="62"/>
      <c r="B8" s="63" t="s">
        <v>29</v>
      </c>
      <c r="C8" s="63" t="s">
        <v>75</v>
      </c>
      <c r="D8" s="64" t="s">
        <v>56</v>
      </c>
      <c r="E8" s="64" t="s">
        <v>54</v>
      </c>
      <c r="F8" s="64">
        <v>130400125</v>
      </c>
      <c r="G8" s="65">
        <f>'MTO 1'!O6</f>
        <v>0.94004063999999998</v>
      </c>
      <c r="H8" s="65" t="s">
        <v>53</v>
      </c>
    </row>
    <row r="9" spans="1:8" x14ac:dyDescent="0.25">
      <c r="A9" s="62"/>
      <c r="B9" s="63" t="s">
        <v>64</v>
      </c>
      <c r="C9" s="63" t="s">
        <v>76</v>
      </c>
      <c r="D9" s="64" t="s">
        <v>56</v>
      </c>
      <c r="E9" s="64" t="s">
        <v>54</v>
      </c>
      <c r="F9" s="64">
        <v>130400125</v>
      </c>
      <c r="G9" s="65">
        <f>'MTO 1'!O7</f>
        <v>1.248464</v>
      </c>
      <c r="H9" s="65" t="s">
        <v>53</v>
      </c>
    </row>
    <row r="10" spans="1:8" x14ac:dyDescent="0.25">
      <c r="A10" s="62"/>
      <c r="B10" s="63" t="s">
        <v>65</v>
      </c>
      <c r="C10" s="63">
        <v>953400006</v>
      </c>
      <c r="D10" s="64" t="s">
        <v>80</v>
      </c>
      <c r="E10" s="64" t="s">
        <v>52</v>
      </c>
      <c r="F10" s="64">
        <v>953400006</v>
      </c>
      <c r="G10" s="65">
        <f>'MTO 1'!M9</f>
        <v>2</v>
      </c>
      <c r="H10" s="65" t="s">
        <v>57</v>
      </c>
    </row>
    <row r="11" spans="1:8" x14ac:dyDescent="0.25">
      <c r="A11" s="62"/>
      <c r="B11" s="63" t="s">
        <v>66</v>
      </c>
      <c r="C11" s="63">
        <v>271100006</v>
      </c>
      <c r="D11" s="64" t="s">
        <v>81</v>
      </c>
      <c r="E11" s="64" t="s">
        <v>52</v>
      </c>
      <c r="F11" s="64">
        <v>271100006</v>
      </c>
      <c r="G11" s="65">
        <f>'MTO 1'!O10</f>
        <v>0.14399999999999999</v>
      </c>
      <c r="H11" s="65" t="s">
        <v>53</v>
      </c>
    </row>
    <row r="12" spans="1:8" x14ac:dyDescent="0.25">
      <c r="A12" s="62"/>
      <c r="B12" s="63" t="s">
        <v>67</v>
      </c>
      <c r="C12" s="63" t="s">
        <v>69</v>
      </c>
      <c r="D12" s="64" t="s">
        <v>82</v>
      </c>
      <c r="E12" s="64" t="s">
        <v>52</v>
      </c>
      <c r="F12" s="64" t="s">
        <v>69</v>
      </c>
      <c r="G12" s="65">
        <f>G10</f>
        <v>2</v>
      </c>
      <c r="H12" s="65" t="s">
        <v>57</v>
      </c>
    </row>
    <row r="13" spans="1:8" x14ac:dyDescent="0.25">
      <c r="A13" s="62"/>
      <c r="B13" s="63" t="s">
        <v>28</v>
      </c>
      <c r="C13" s="63" t="s">
        <v>77</v>
      </c>
      <c r="D13" s="64" t="s">
        <v>93</v>
      </c>
      <c r="E13" s="64" t="s">
        <v>54</v>
      </c>
      <c r="F13" s="64">
        <v>130600150</v>
      </c>
      <c r="G13" s="65">
        <f>'MTO 1'!O5</f>
        <v>1.5786036000000001</v>
      </c>
      <c r="H13" s="65" t="s">
        <v>53</v>
      </c>
    </row>
    <row r="14" spans="1:8" x14ac:dyDescent="0.25">
      <c r="A14" s="62"/>
      <c r="B14" s="63" t="s">
        <v>68</v>
      </c>
      <c r="C14" s="63" t="s">
        <v>78</v>
      </c>
      <c r="D14" s="64" t="s">
        <v>83</v>
      </c>
      <c r="E14" s="64" t="s">
        <v>52</v>
      </c>
      <c r="F14" s="64">
        <v>273100004</v>
      </c>
      <c r="G14" s="65">
        <f>'MTO 1'!O8</f>
        <v>-7.2</v>
      </c>
      <c r="H14" s="6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22.85546875" bestFit="1" customWidth="1"/>
    <col min="3" max="3" width="11.7109375" bestFit="1" customWidth="1"/>
    <col min="4" max="4" width="34" bestFit="1" customWidth="1"/>
    <col min="5" max="5" width="8.85546875" bestFit="1" customWidth="1"/>
    <col min="6" max="6" width="16.5703125" bestFit="1" customWidth="1"/>
    <col min="7" max="7" width="7.42578125" bestFit="1" customWidth="1"/>
    <col min="8" max="8" width="4.85546875" bestFit="1" customWidth="1"/>
  </cols>
  <sheetData>
    <row r="1" spans="1:8" ht="25.5" x14ac:dyDescent="0.25">
      <c r="A1" s="56" t="s">
        <v>0</v>
      </c>
      <c r="B1" s="56" t="s">
        <v>10</v>
      </c>
      <c r="C1" s="56" t="s">
        <v>45</v>
      </c>
      <c r="D1" s="57" t="s">
        <v>46</v>
      </c>
      <c r="E1" s="57" t="s">
        <v>47</v>
      </c>
      <c r="F1" s="58" t="s">
        <v>48</v>
      </c>
      <c r="G1" s="59" t="s">
        <v>49</v>
      </c>
      <c r="H1" s="56" t="s">
        <v>50</v>
      </c>
    </row>
    <row r="2" spans="1:8" x14ac:dyDescent="0.25">
      <c r="A2" s="60"/>
      <c r="B2" s="61" t="s">
        <v>113</v>
      </c>
      <c r="C2" s="61" t="s">
        <v>116</v>
      </c>
      <c r="D2" s="61"/>
      <c r="E2" s="61"/>
      <c r="F2" s="61"/>
      <c r="G2" s="61"/>
      <c r="H2" s="66"/>
    </row>
    <row r="3" spans="1:8" x14ac:dyDescent="0.25">
      <c r="A3" s="62"/>
      <c r="B3" s="63" t="s">
        <v>59</v>
      </c>
      <c r="C3" s="63" t="s">
        <v>94</v>
      </c>
      <c r="D3" s="64" t="s">
        <v>56</v>
      </c>
      <c r="E3" s="64" t="s">
        <v>54</v>
      </c>
      <c r="F3" s="64">
        <v>130400125</v>
      </c>
      <c r="G3" s="65">
        <f>'MTO 2'!O3</f>
        <v>1.83180064</v>
      </c>
      <c r="H3" s="65" t="s">
        <v>53</v>
      </c>
    </row>
    <row r="4" spans="1:8" x14ac:dyDescent="0.25">
      <c r="A4" s="62"/>
      <c r="B4" s="63" t="s">
        <v>60</v>
      </c>
      <c r="C4" s="63" t="s">
        <v>95</v>
      </c>
      <c r="D4" s="64" t="s">
        <v>56</v>
      </c>
      <c r="E4" s="64" t="s">
        <v>54</v>
      </c>
      <c r="F4" s="64">
        <v>130400125</v>
      </c>
      <c r="G4" s="65">
        <f>'MTO 2'!O4</f>
        <v>0.15782896000000002</v>
      </c>
      <c r="H4" s="65" t="s">
        <v>53</v>
      </c>
    </row>
    <row r="5" spans="1:8" x14ac:dyDescent="0.25">
      <c r="A5" s="62"/>
      <c r="B5" s="63" t="s">
        <v>61</v>
      </c>
      <c r="C5" s="63" t="s">
        <v>96</v>
      </c>
      <c r="D5" s="64" t="s">
        <v>55</v>
      </c>
      <c r="E5" s="64" t="s">
        <v>51</v>
      </c>
      <c r="F5" s="64">
        <v>140200100</v>
      </c>
      <c r="G5" s="65">
        <v>1.4129999999999998</v>
      </c>
      <c r="H5" s="65" t="s">
        <v>53</v>
      </c>
    </row>
    <row r="6" spans="1:8" x14ac:dyDescent="0.25">
      <c r="A6" s="62"/>
      <c r="B6" s="63" t="s">
        <v>62</v>
      </c>
      <c r="C6" s="63" t="s">
        <v>97</v>
      </c>
      <c r="D6" s="64" t="s">
        <v>55</v>
      </c>
      <c r="E6" s="64" t="s">
        <v>51</v>
      </c>
      <c r="F6" s="64">
        <v>140200100</v>
      </c>
      <c r="G6" s="65">
        <v>2.5</v>
      </c>
      <c r="H6" s="65" t="s">
        <v>53</v>
      </c>
    </row>
    <row r="7" spans="1:8" x14ac:dyDescent="0.25">
      <c r="A7" s="62"/>
      <c r="B7" s="63" t="s">
        <v>63</v>
      </c>
      <c r="C7" s="63" t="s">
        <v>98</v>
      </c>
      <c r="D7" s="64" t="s">
        <v>79</v>
      </c>
      <c r="E7" s="64" t="s">
        <v>52</v>
      </c>
      <c r="F7" s="64">
        <v>221050505</v>
      </c>
      <c r="G7" s="65">
        <v>2.4</v>
      </c>
      <c r="H7" s="65" t="s">
        <v>53</v>
      </c>
    </row>
    <row r="8" spans="1:8" x14ac:dyDescent="0.25">
      <c r="A8" s="62"/>
      <c r="B8" s="63" t="s">
        <v>29</v>
      </c>
      <c r="C8" s="63" t="s">
        <v>99</v>
      </c>
      <c r="D8" s="64" t="s">
        <v>56</v>
      </c>
      <c r="E8" s="64" t="s">
        <v>54</v>
      </c>
      <c r="F8" s="64">
        <v>130400125</v>
      </c>
      <c r="G8" s="65">
        <f>'MTO 2'!O6</f>
        <v>1.2683088</v>
      </c>
      <c r="H8" s="65" t="s">
        <v>53</v>
      </c>
    </row>
    <row r="9" spans="1:8" x14ac:dyDescent="0.25">
      <c r="A9" s="62"/>
      <c r="B9" s="63" t="s">
        <v>64</v>
      </c>
      <c r="C9" s="63" t="s">
        <v>100</v>
      </c>
      <c r="D9" s="64" t="s">
        <v>56</v>
      </c>
      <c r="E9" s="64" t="s">
        <v>54</v>
      </c>
      <c r="F9" s="64">
        <v>130400125</v>
      </c>
      <c r="G9" s="65">
        <f>'MTO 2'!O7</f>
        <v>1.248464</v>
      </c>
      <c r="H9" s="65" t="s">
        <v>53</v>
      </c>
    </row>
    <row r="10" spans="1:8" x14ac:dyDescent="0.25">
      <c r="A10" s="62"/>
      <c r="B10" s="63" t="s">
        <v>65</v>
      </c>
      <c r="C10" s="63">
        <v>953400007</v>
      </c>
      <c r="D10" s="64" t="s">
        <v>84</v>
      </c>
      <c r="E10" s="64" t="s">
        <v>52</v>
      </c>
      <c r="F10" s="64">
        <v>953400007</v>
      </c>
      <c r="G10" s="65">
        <f>'MTO 2'!M9</f>
        <v>2</v>
      </c>
      <c r="H10" s="65" t="s">
        <v>57</v>
      </c>
    </row>
    <row r="11" spans="1:8" x14ac:dyDescent="0.25">
      <c r="A11" s="62"/>
      <c r="B11" s="63" t="s">
        <v>66</v>
      </c>
      <c r="C11" s="63">
        <v>271100007</v>
      </c>
      <c r="D11" s="64" t="s">
        <v>85</v>
      </c>
      <c r="E11" s="64" t="s">
        <v>52</v>
      </c>
      <c r="F11" s="64">
        <v>271100007</v>
      </c>
      <c r="G11" s="65">
        <f>'MTO 2'!O10</f>
        <v>0.218</v>
      </c>
      <c r="H11" s="65" t="s">
        <v>53</v>
      </c>
    </row>
    <row r="12" spans="1:8" x14ac:dyDescent="0.25">
      <c r="A12" s="62"/>
      <c r="B12" s="63" t="s">
        <v>67</v>
      </c>
      <c r="C12" s="63" t="s">
        <v>87</v>
      </c>
      <c r="D12" s="64" t="s">
        <v>86</v>
      </c>
      <c r="E12" s="64" t="s">
        <v>52</v>
      </c>
      <c r="F12" s="64" t="s">
        <v>87</v>
      </c>
      <c r="G12" s="65">
        <f>'MTO 2'!M11</f>
        <v>2</v>
      </c>
      <c r="H12" s="65" t="s">
        <v>57</v>
      </c>
    </row>
    <row r="13" spans="1:8" x14ac:dyDescent="0.25">
      <c r="A13" s="62"/>
      <c r="B13" s="63" t="s">
        <v>28</v>
      </c>
      <c r="C13" s="63" t="s">
        <v>101</v>
      </c>
      <c r="D13" s="64" t="s">
        <v>93</v>
      </c>
      <c r="E13" s="64" t="s">
        <v>54</v>
      </c>
      <c r="F13" s="64">
        <v>130600150</v>
      </c>
      <c r="G13" s="65">
        <f>'MTO 2'!O5</f>
        <v>2.4190936800000005</v>
      </c>
      <c r="H13" s="65" t="s">
        <v>53</v>
      </c>
    </row>
    <row r="14" spans="1:8" x14ac:dyDescent="0.25">
      <c r="A14" s="62"/>
      <c r="B14" s="63" t="s">
        <v>68</v>
      </c>
      <c r="C14" s="63" t="s">
        <v>102</v>
      </c>
      <c r="D14" s="64" t="s">
        <v>83</v>
      </c>
      <c r="E14" s="64" t="s">
        <v>52</v>
      </c>
      <c r="F14" s="64">
        <v>273100004</v>
      </c>
      <c r="G14" s="65">
        <f>'MTO 2'!O8</f>
        <v>-7.2</v>
      </c>
      <c r="H14" s="6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22.85546875" bestFit="1" customWidth="1"/>
    <col min="3" max="3" width="11.7109375" bestFit="1" customWidth="1"/>
    <col min="4" max="4" width="34" bestFit="1" customWidth="1"/>
    <col min="5" max="5" width="8.85546875" bestFit="1" customWidth="1"/>
    <col min="6" max="6" width="16.5703125" bestFit="1" customWidth="1"/>
    <col min="7" max="7" width="7.42578125" bestFit="1" customWidth="1"/>
    <col min="8" max="8" width="4.85546875" bestFit="1" customWidth="1"/>
  </cols>
  <sheetData>
    <row r="1" spans="1:8" ht="25.5" x14ac:dyDescent="0.25">
      <c r="A1" s="56" t="s">
        <v>0</v>
      </c>
      <c r="B1" s="56" t="s">
        <v>10</v>
      </c>
      <c r="C1" s="56" t="s">
        <v>45</v>
      </c>
      <c r="D1" s="57" t="s">
        <v>46</v>
      </c>
      <c r="E1" s="57" t="s">
        <v>47</v>
      </c>
      <c r="F1" s="58" t="s">
        <v>48</v>
      </c>
      <c r="G1" s="59" t="s">
        <v>49</v>
      </c>
      <c r="H1" s="56" t="s">
        <v>50</v>
      </c>
    </row>
    <row r="2" spans="1:8" x14ac:dyDescent="0.25">
      <c r="A2" s="60"/>
      <c r="B2" s="61" t="s">
        <v>112</v>
      </c>
      <c r="C2" s="61" t="s">
        <v>115</v>
      </c>
      <c r="D2" s="61"/>
      <c r="E2" s="61"/>
      <c r="F2" s="61"/>
      <c r="G2" s="61"/>
      <c r="H2" s="66"/>
    </row>
    <row r="3" spans="1:8" x14ac:dyDescent="0.25">
      <c r="A3" s="62"/>
      <c r="B3" s="63" t="s">
        <v>59</v>
      </c>
      <c r="C3" s="63" t="s">
        <v>103</v>
      </c>
      <c r="D3" s="64" t="s">
        <v>56</v>
      </c>
      <c r="E3" s="64" t="s">
        <v>54</v>
      </c>
      <c r="F3" s="64">
        <v>130400125</v>
      </c>
      <c r="G3" s="65">
        <f>'MTO 3'!O3</f>
        <v>1.84993728</v>
      </c>
      <c r="H3" s="65" t="s">
        <v>53</v>
      </c>
    </row>
    <row r="4" spans="1:8" x14ac:dyDescent="0.25">
      <c r="A4" s="62"/>
      <c r="B4" s="63" t="s">
        <v>60</v>
      </c>
      <c r="C4" s="63" t="s">
        <v>104</v>
      </c>
      <c r="D4" s="64" t="s">
        <v>56</v>
      </c>
      <c r="E4" s="64" t="s">
        <v>54</v>
      </c>
      <c r="F4" s="64">
        <v>130400125</v>
      </c>
      <c r="G4" s="65">
        <f>'MTO 3'!O4</f>
        <v>0.20867184</v>
      </c>
      <c r="H4" s="65" t="s">
        <v>53</v>
      </c>
    </row>
    <row r="5" spans="1:8" x14ac:dyDescent="0.25">
      <c r="A5" s="62"/>
      <c r="B5" s="63" t="s">
        <v>61</v>
      </c>
      <c r="C5" s="63" t="s">
        <v>105</v>
      </c>
      <c r="D5" s="64" t="s">
        <v>55</v>
      </c>
      <c r="E5" s="64" t="s">
        <v>51</v>
      </c>
      <c r="F5" s="64">
        <v>140200100</v>
      </c>
      <c r="G5" s="65">
        <v>1.4129999999999998</v>
      </c>
      <c r="H5" s="65" t="s">
        <v>53</v>
      </c>
    </row>
    <row r="6" spans="1:8" x14ac:dyDescent="0.25">
      <c r="A6" s="62"/>
      <c r="B6" s="63" t="s">
        <v>62</v>
      </c>
      <c r="C6" s="63" t="s">
        <v>106</v>
      </c>
      <c r="D6" s="64" t="s">
        <v>55</v>
      </c>
      <c r="E6" s="64" t="s">
        <v>51</v>
      </c>
      <c r="F6" s="64">
        <v>140200100</v>
      </c>
      <c r="G6" s="65">
        <v>2.6</v>
      </c>
      <c r="H6" s="65" t="s">
        <v>53</v>
      </c>
    </row>
    <row r="7" spans="1:8" x14ac:dyDescent="0.25">
      <c r="A7" s="62"/>
      <c r="B7" s="63" t="s">
        <v>63</v>
      </c>
      <c r="C7" s="63" t="s">
        <v>107</v>
      </c>
      <c r="D7" s="64" t="s">
        <v>79</v>
      </c>
      <c r="E7" s="64" t="s">
        <v>52</v>
      </c>
      <c r="F7" s="64">
        <v>221050505</v>
      </c>
      <c r="G7" s="65">
        <v>2.4</v>
      </c>
      <c r="H7" s="65" t="s">
        <v>53</v>
      </c>
    </row>
    <row r="8" spans="1:8" x14ac:dyDescent="0.25">
      <c r="A8" s="62"/>
      <c r="B8" s="63" t="s">
        <v>29</v>
      </c>
      <c r="C8" s="63" t="s">
        <v>108</v>
      </c>
      <c r="D8" s="64" t="s">
        <v>56</v>
      </c>
      <c r="E8" s="64" t="s">
        <v>54</v>
      </c>
      <c r="F8" s="64">
        <v>130400125</v>
      </c>
      <c r="G8" s="65">
        <f>'MTO 3'!O6</f>
        <v>1.9542731999999998</v>
      </c>
      <c r="H8" s="65" t="s">
        <v>53</v>
      </c>
    </row>
    <row r="9" spans="1:8" x14ac:dyDescent="0.25">
      <c r="A9" s="62"/>
      <c r="B9" s="63" t="s">
        <v>64</v>
      </c>
      <c r="C9" s="63" t="s">
        <v>109</v>
      </c>
      <c r="D9" s="64" t="s">
        <v>56</v>
      </c>
      <c r="E9" s="64" t="s">
        <v>54</v>
      </c>
      <c r="F9" s="64">
        <v>130400125</v>
      </c>
      <c r="G9" s="65">
        <f>'MTO 3'!O7</f>
        <v>1.3108872</v>
      </c>
      <c r="H9" s="65" t="s">
        <v>53</v>
      </c>
    </row>
    <row r="10" spans="1:8" x14ac:dyDescent="0.25">
      <c r="A10" s="62"/>
      <c r="B10" s="63" t="s">
        <v>65</v>
      </c>
      <c r="C10" s="63">
        <v>953400009</v>
      </c>
      <c r="D10" s="64" t="s">
        <v>88</v>
      </c>
      <c r="E10" s="64" t="s">
        <v>52</v>
      </c>
      <c r="F10" s="64">
        <v>953400009</v>
      </c>
      <c r="G10" s="65">
        <f>'MTO 3'!M9</f>
        <v>2</v>
      </c>
      <c r="H10" s="65" t="s">
        <v>57</v>
      </c>
    </row>
    <row r="11" spans="1:8" x14ac:dyDescent="0.25">
      <c r="A11" s="62"/>
      <c r="B11" s="63" t="s">
        <v>66</v>
      </c>
      <c r="C11" s="63">
        <v>271100009</v>
      </c>
      <c r="D11" s="64" t="s">
        <v>89</v>
      </c>
      <c r="E11" s="64" t="s">
        <v>52</v>
      </c>
      <c r="F11" s="64">
        <v>271100009</v>
      </c>
      <c r="G11" s="65">
        <f>'MTO 3'!O10</f>
        <v>0.28699999999999998</v>
      </c>
      <c r="H11" s="65" t="s">
        <v>53</v>
      </c>
    </row>
    <row r="12" spans="1:8" x14ac:dyDescent="0.25">
      <c r="A12" s="62"/>
      <c r="B12" s="63" t="s">
        <v>67</v>
      </c>
      <c r="C12" s="63" t="s">
        <v>91</v>
      </c>
      <c r="D12" s="64" t="s">
        <v>90</v>
      </c>
      <c r="E12" s="64" t="s">
        <v>52</v>
      </c>
      <c r="F12" s="64" t="s">
        <v>91</v>
      </c>
      <c r="G12" s="65">
        <f>'MTO 3'!M11</f>
        <v>2</v>
      </c>
      <c r="H12" s="65" t="s">
        <v>57</v>
      </c>
    </row>
    <row r="13" spans="1:8" x14ac:dyDescent="0.25">
      <c r="A13" s="62"/>
      <c r="B13" s="63" t="s">
        <v>28</v>
      </c>
      <c r="C13" s="63" t="s">
        <v>110</v>
      </c>
      <c r="D13" s="64" t="s">
        <v>93</v>
      </c>
      <c r="E13" s="64" t="s">
        <v>54</v>
      </c>
      <c r="F13" s="64">
        <v>130600150</v>
      </c>
      <c r="G13" s="65">
        <f>'MTO 3'!O5</f>
        <v>3.0820356000000002</v>
      </c>
      <c r="H13" s="65" t="s">
        <v>53</v>
      </c>
    </row>
    <row r="14" spans="1:8" x14ac:dyDescent="0.25">
      <c r="A14" s="62"/>
      <c r="B14" s="63" t="s">
        <v>68</v>
      </c>
      <c r="C14" s="63" t="s">
        <v>111</v>
      </c>
      <c r="D14" s="64" t="s">
        <v>83</v>
      </c>
      <c r="E14" s="64" t="s">
        <v>52</v>
      </c>
      <c r="F14" s="64">
        <v>273100004</v>
      </c>
      <c r="G14" s="65">
        <f>'MTO 3'!O8</f>
        <v>-7.2</v>
      </c>
      <c r="H14" s="6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5" sqref="A5"/>
    </sheetView>
  </sheetViews>
  <sheetFormatPr defaultRowHeight="15" x14ac:dyDescent="0.25"/>
  <cols>
    <col min="1" max="1" width="17.5703125" style="75" bestFit="1" customWidth="1"/>
    <col min="2" max="2" width="8.42578125" style="75" bestFit="1" customWidth="1"/>
    <col min="3" max="3" width="10" style="75" bestFit="1" customWidth="1"/>
    <col min="4" max="4" width="4.28515625" style="75" bestFit="1" customWidth="1"/>
    <col min="5" max="5" width="13.28515625" style="75" customWidth="1"/>
    <col min="6" max="16384" width="9.140625" style="75"/>
  </cols>
  <sheetData>
    <row r="1" spans="1:5" x14ac:dyDescent="0.25">
      <c r="A1" s="62" t="s">
        <v>46</v>
      </c>
      <c r="B1" s="62" t="s">
        <v>47</v>
      </c>
      <c r="C1" s="62" t="s">
        <v>48</v>
      </c>
      <c r="D1" s="62" t="s">
        <v>50</v>
      </c>
      <c r="E1" s="62" t="s">
        <v>58</v>
      </c>
    </row>
    <row r="2" spans="1:5" x14ac:dyDescent="0.25">
      <c r="A2" s="76" t="s">
        <v>56</v>
      </c>
      <c r="B2" s="76" t="s">
        <v>54</v>
      </c>
      <c r="C2" s="76">
        <v>130400125</v>
      </c>
      <c r="D2" s="77" t="s">
        <v>53</v>
      </c>
      <c r="E2" s="78"/>
    </row>
    <row r="3" spans="1:5" x14ac:dyDescent="0.25">
      <c r="A3" s="76" t="s">
        <v>55</v>
      </c>
      <c r="B3" s="76" t="s">
        <v>51</v>
      </c>
      <c r="C3" s="76">
        <v>140200100</v>
      </c>
      <c r="D3" s="77" t="s">
        <v>53</v>
      </c>
      <c r="E3" s="79"/>
    </row>
    <row r="4" spans="1:5" x14ac:dyDescent="0.25">
      <c r="A4" s="76" t="s">
        <v>79</v>
      </c>
      <c r="B4" s="76" t="s">
        <v>52</v>
      </c>
      <c r="C4" s="76">
        <v>221050505</v>
      </c>
      <c r="D4" s="77" t="s">
        <v>53</v>
      </c>
      <c r="E4" s="79"/>
    </row>
    <row r="5" spans="1:5" x14ac:dyDescent="0.25">
      <c r="A5" s="76" t="s">
        <v>93</v>
      </c>
      <c r="B5" s="76" t="s">
        <v>54</v>
      </c>
      <c r="C5" s="76">
        <v>130600150</v>
      </c>
      <c r="D5" s="77" t="s">
        <v>53</v>
      </c>
      <c r="E5" s="79"/>
    </row>
    <row r="6" spans="1:5" x14ac:dyDescent="0.25">
      <c r="A6" s="76" t="s">
        <v>83</v>
      </c>
      <c r="B6" s="76" t="s">
        <v>52</v>
      </c>
      <c r="C6" s="76">
        <v>273100004</v>
      </c>
      <c r="D6" s="77" t="s">
        <v>53</v>
      </c>
      <c r="E6" s="78"/>
    </row>
    <row r="7" spans="1:5" x14ac:dyDescent="0.25">
      <c r="A7" s="64" t="s">
        <v>80</v>
      </c>
      <c r="B7" s="64" t="s">
        <v>52</v>
      </c>
      <c r="C7" s="64">
        <v>953400006</v>
      </c>
      <c r="D7" s="77" t="s">
        <v>57</v>
      </c>
      <c r="E7" s="78"/>
    </row>
    <row r="8" spans="1:5" x14ac:dyDescent="0.25">
      <c r="A8" s="64" t="s">
        <v>84</v>
      </c>
      <c r="B8" s="64" t="s">
        <v>52</v>
      </c>
      <c r="C8" s="64">
        <v>953400007</v>
      </c>
      <c r="D8" s="77" t="s">
        <v>57</v>
      </c>
      <c r="E8" s="78"/>
    </row>
    <row r="9" spans="1:5" x14ac:dyDescent="0.25">
      <c r="A9" s="76" t="s">
        <v>88</v>
      </c>
      <c r="B9" s="76" t="s">
        <v>52</v>
      </c>
      <c r="C9" s="76">
        <v>953400009</v>
      </c>
      <c r="D9" s="77" t="s">
        <v>57</v>
      </c>
      <c r="E9" s="79"/>
    </row>
    <row r="10" spans="1:5" x14ac:dyDescent="0.25">
      <c r="A10" s="64" t="s">
        <v>82</v>
      </c>
      <c r="B10" s="64" t="s">
        <v>52</v>
      </c>
      <c r="C10" s="64" t="s">
        <v>69</v>
      </c>
      <c r="D10" s="77" t="s">
        <v>57</v>
      </c>
      <c r="E10" s="78"/>
    </row>
    <row r="11" spans="1:5" x14ac:dyDescent="0.25">
      <c r="A11" s="64" t="s">
        <v>86</v>
      </c>
      <c r="B11" s="64" t="s">
        <v>52</v>
      </c>
      <c r="C11" s="64" t="s">
        <v>87</v>
      </c>
      <c r="D11" s="77" t="s">
        <v>57</v>
      </c>
      <c r="E11" s="78"/>
    </row>
    <row r="12" spans="1:5" x14ac:dyDescent="0.25">
      <c r="A12" s="76" t="s">
        <v>90</v>
      </c>
      <c r="B12" s="76" t="s">
        <v>52</v>
      </c>
      <c r="C12" s="76" t="s">
        <v>91</v>
      </c>
      <c r="D12" s="77" t="s">
        <v>57</v>
      </c>
      <c r="E12" s="79"/>
    </row>
    <row r="13" spans="1:5" x14ac:dyDescent="0.25">
      <c r="A13" s="64" t="s">
        <v>81</v>
      </c>
      <c r="B13" s="64" t="s">
        <v>52</v>
      </c>
      <c r="C13" s="64">
        <v>271100006</v>
      </c>
      <c r="D13" s="77" t="s">
        <v>53</v>
      </c>
      <c r="E13" s="78"/>
    </row>
    <row r="14" spans="1:5" x14ac:dyDescent="0.25">
      <c r="A14" s="64" t="s">
        <v>85</v>
      </c>
      <c r="B14" s="64" t="s">
        <v>52</v>
      </c>
      <c r="C14" s="64">
        <v>271100007</v>
      </c>
      <c r="D14" s="77" t="s">
        <v>53</v>
      </c>
      <c r="E14" s="78"/>
    </row>
    <row r="15" spans="1:5" x14ac:dyDescent="0.25">
      <c r="A15" s="76" t="s">
        <v>89</v>
      </c>
      <c r="B15" s="76" t="s">
        <v>52</v>
      </c>
      <c r="C15" s="76">
        <v>271100009</v>
      </c>
      <c r="D15" s="77" t="s">
        <v>53</v>
      </c>
      <c r="E15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MTO 1</vt:lpstr>
      <vt:lpstr>MTO 2</vt:lpstr>
      <vt:lpstr>MTO 3</vt:lpstr>
      <vt:lpstr>MTOP 1Row</vt:lpstr>
      <vt:lpstr>MTOP 2Row</vt:lpstr>
      <vt:lpstr>MTOP 3Row</vt:lpstr>
      <vt:lpstr>Material 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CII</cp:lastModifiedBy>
  <dcterms:created xsi:type="dcterms:W3CDTF">2006-09-16T00:00:00Z</dcterms:created>
  <dcterms:modified xsi:type="dcterms:W3CDTF">2020-09-24T09:28:09Z</dcterms:modified>
</cp:coreProperties>
</file>