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35"/>
  </bookViews>
  <sheets>
    <sheet name="Dust Collector" sheetId="70" r:id="rId1"/>
    <sheet name="Vacuum Cleaner" sheetId="71" r:id="rId2"/>
    <sheet name="Drum" sheetId="65" r:id="rId3"/>
    <sheet name="Driven Stand" sheetId="66" r:id="rId4"/>
    <sheet name="Driver Stand" sheetId="67" r:id="rId5"/>
    <sheet name="Drum Frame" sheetId="68" r:id="rId6"/>
    <sheet name="Driving System" sheetId="69" r:id="rId7"/>
    <sheet name="Fan Case" sheetId="50" r:id="rId8"/>
    <sheet name="Damper" sheetId="49" r:id="rId9"/>
    <sheet name="Coil" sheetId="48" r:id="rId10"/>
    <sheet name="Static Water Filter" sheetId="47" r:id="rId11"/>
    <sheet name="Inspection Door" sheetId="63" r:id="rId12"/>
    <sheet name="Ventilation Door" sheetId="45" r:id="rId13"/>
    <sheet name="Nozzle Bank" sheetId="44" r:id="rId14"/>
    <sheet name="Eliminator" sheetId="42" r:id="rId15"/>
    <sheet name="Air Baffle" sheetId="14" r:id="rId16"/>
    <sheet name="Sheet2" sheetId="64" r:id="rId17"/>
  </sheets>
  <calcPr calcId="152511"/>
</workbook>
</file>

<file path=xl/calcChain.xml><?xml version="1.0" encoding="utf-8"?>
<calcChain xmlns="http://schemas.openxmlformats.org/spreadsheetml/2006/main">
  <c r="P151" i="71" l="1"/>
  <c r="P150" i="71"/>
  <c r="P149" i="71"/>
  <c r="P148" i="71"/>
  <c r="P147" i="71"/>
  <c r="P146" i="71"/>
  <c r="P145" i="71"/>
  <c r="P144" i="71"/>
  <c r="P143" i="71"/>
  <c r="P142" i="71"/>
  <c r="P141" i="71"/>
  <c r="P140" i="71"/>
  <c r="P139" i="71"/>
  <c r="P138" i="71"/>
  <c r="P122" i="71"/>
  <c r="P121" i="71"/>
  <c r="P120" i="71"/>
  <c r="P119" i="71"/>
  <c r="P118" i="71"/>
  <c r="P117" i="71"/>
  <c r="P116" i="71"/>
  <c r="P115" i="71"/>
  <c r="P114" i="71"/>
  <c r="P113" i="71"/>
  <c r="P112" i="71"/>
  <c r="P111" i="71"/>
  <c r="P110" i="71"/>
  <c r="P109" i="71"/>
  <c r="P108" i="71"/>
  <c r="P107" i="71"/>
  <c r="P91" i="71"/>
  <c r="P90" i="71"/>
  <c r="P89" i="71"/>
  <c r="P88" i="71"/>
  <c r="P87" i="71"/>
  <c r="P86" i="71"/>
  <c r="P85" i="71"/>
  <c r="P84" i="71"/>
  <c r="P83" i="71"/>
  <c r="P82" i="71"/>
  <c r="P81" i="71"/>
  <c r="P80" i="71"/>
  <c r="P79" i="71"/>
  <c r="P78" i="71"/>
  <c r="P77" i="71"/>
  <c r="P76" i="71"/>
  <c r="P75" i="71"/>
  <c r="P74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O13" i="71"/>
  <c r="P13" i="71" s="1"/>
  <c r="O12" i="71"/>
  <c r="P12" i="71" s="1"/>
  <c r="O11" i="71"/>
  <c r="P11" i="71" s="1"/>
  <c r="O10" i="71"/>
  <c r="P10" i="71" s="1"/>
  <c r="O9" i="71"/>
  <c r="P9" i="71" s="1"/>
  <c r="O8" i="71"/>
  <c r="P8" i="71" s="1"/>
  <c r="F8" i="71"/>
  <c r="J12" i="71" s="1"/>
  <c r="P123" i="70"/>
  <c r="P122" i="70"/>
  <c r="P121" i="70"/>
  <c r="P120" i="70"/>
  <c r="P119" i="70"/>
  <c r="P118" i="70"/>
  <c r="P117" i="70"/>
  <c r="P116" i="70"/>
  <c r="P115" i="70"/>
  <c r="P114" i="70"/>
  <c r="P113" i="70"/>
  <c r="P112" i="70"/>
  <c r="P111" i="70"/>
  <c r="P110" i="70"/>
  <c r="P109" i="70"/>
  <c r="P48" i="70"/>
  <c r="P47" i="70"/>
  <c r="P46" i="70"/>
  <c r="O45" i="70"/>
  <c r="P45" i="70" s="1"/>
  <c r="P44" i="70"/>
  <c r="P43" i="70"/>
  <c r="O42" i="70"/>
  <c r="P42" i="70" s="1"/>
  <c r="P41" i="70"/>
  <c r="O41" i="70"/>
  <c r="P19" i="70"/>
  <c r="P18" i="70"/>
  <c r="P17" i="70"/>
  <c r="P16" i="70"/>
  <c r="O15" i="70"/>
  <c r="P15" i="70" s="1"/>
  <c r="P14" i="70"/>
  <c r="O14" i="70"/>
  <c r="P13" i="70"/>
  <c r="O13" i="70"/>
  <c r="P12" i="70"/>
  <c r="O12" i="70"/>
  <c r="P11" i="70"/>
  <c r="O11" i="70"/>
  <c r="P10" i="70"/>
  <c r="O10" i="70"/>
  <c r="P9" i="70"/>
  <c r="O9" i="70"/>
  <c r="P8" i="70"/>
  <c r="O8" i="70"/>
  <c r="J8" i="71" l="1"/>
  <c r="P25" i="69" l="1"/>
  <c r="Q25" i="69" s="1"/>
  <c r="R25" i="69" s="1"/>
  <c r="P24" i="69"/>
  <c r="Q24" i="69" s="1"/>
  <c r="R24" i="69" s="1"/>
  <c r="P23" i="69"/>
  <c r="Q23" i="69" s="1"/>
  <c r="R23" i="69" s="1"/>
  <c r="P22" i="69"/>
  <c r="Q22" i="69" s="1"/>
  <c r="R22" i="69" s="1"/>
  <c r="P21" i="69"/>
  <c r="Q21" i="69" s="1"/>
  <c r="R21" i="69" s="1"/>
  <c r="Q20" i="69"/>
  <c r="R20" i="69" s="1"/>
  <c r="P20" i="69"/>
  <c r="P19" i="69"/>
  <c r="Q19" i="69" s="1"/>
  <c r="R19" i="69" s="1"/>
  <c r="Q18" i="69"/>
  <c r="R18" i="69" s="1"/>
  <c r="P18" i="69"/>
  <c r="P17" i="69"/>
  <c r="Q17" i="69" s="1"/>
  <c r="R17" i="69" s="1"/>
  <c r="P16" i="69"/>
  <c r="Q16" i="69" s="1"/>
  <c r="R16" i="69" s="1"/>
  <c r="Q15" i="69"/>
  <c r="R15" i="69" s="1"/>
  <c r="P15" i="69"/>
  <c r="P14" i="69"/>
  <c r="Q14" i="69" s="1"/>
  <c r="R14" i="69" s="1"/>
  <c r="Q13" i="69"/>
  <c r="R13" i="69" s="1"/>
  <c r="P13" i="69"/>
  <c r="P12" i="69"/>
  <c r="Q12" i="69" s="1"/>
  <c r="R12" i="69" s="1"/>
  <c r="P11" i="69"/>
  <c r="Q11" i="69" s="1"/>
  <c r="R11" i="69" s="1"/>
  <c r="P10" i="69"/>
  <c r="Q10" i="69" s="1"/>
  <c r="R10" i="69" s="1"/>
  <c r="P9" i="69"/>
  <c r="Q9" i="69" s="1"/>
  <c r="R9" i="69" s="1"/>
  <c r="Q8" i="69"/>
  <c r="R8" i="69" s="1"/>
  <c r="P8" i="69"/>
  <c r="G8" i="69"/>
  <c r="K17" i="69" s="1"/>
  <c r="P24" i="68"/>
  <c r="Q24" i="68" s="1"/>
  <c r="R24" i="68" s="1"/>
  <c r="R23" i="68"/>
  <c r="Q23" i="68"/>
  <c r="P23" i="68"/>
  <c r="Q22" i="68"/>
  <c r="R22" i="68" s="1"/>
  <c r="P22" i="68"/>
  <c r="P21" i="68"/>
  <c r="Q21" i="68" s="1"/>
  <c r="R21" i="68" s="1"/>
  <c r="P20" i="68"/>
  <c r="Q20" i="68" s="1"/>
  <c r="R20" i="68" s="1"/>
  <c r="R19" i="68"/>
  <c r="Q19" i="68"/>
  <c r="P19" i="68"/>
  <c r="R18" i="68"/>
  <c r="Q18" i="68"/>
  <c r="P18" i="68"/>
  <c r="Q17" i="68"/>
  <c r="R17" i="68" s="1"/>
  <c r="P17" i="68"/>
  <c r="O16" i="68"/>
  <c r="P16" i="68" s="1"/>
  <c r="Q16" i="68" s="1"/>
  <c r="R16" i="68" s="1"/>
  <c r="Q15" i="68"/>
  <c r="P15" i="68"/>
  <c r="P14" i="68"/>
  <c r="Q14" i="68" s="1"/>
  <c r="Q13" i="68"/>
  <c r="P13" i="68"/>
  <c r="P12" i="68"/>
  <c r="Q12" i="68" s="1"/>
  <c r="Q11" i="68"/>
  <c r="P11" i="68"/>
  <c r="P10" i="68"/>
  <c r="Q10" i="68" s="1"/>
  <c r="Q9" i="68"/>
  <c r="P9" i="68"/>
  <c r="P8" i="68"/>
  <c r="Q8" i="68" s="1"/>
  <c r="G8" i="68"/>
  <c r="K17" i="68" s="1"/>
  <c r="P52" i="67"/>
  <c r="Q52" i="67" s="1"/>
  <c r="R52" i="67" s="1"/>
  <c r="P51" i="67"/>
  <c r="Q51" i="67" s="1"/>
  <c r="R51" i="67" s="1"/>
  <c r="P50" i="67"/>
  <c r="Q50" i="67" s="1"/>
  <c r="R50" i="67" s="1"/>
  <c r="P49" i="67"/>
  <c r="Q49" i="67" s="1"/>
  <c r="R49" i="67" s="1"/>
  <c r="P48" i="67"/>
  <c r="Q48" i="67" s="1"/>
  <c r="R48" i="67" s="1"/>
  <c r="Q47" i="67"/>
  <c r="R47" i="67" s="1"/>
  <c r="P47" i="67"/>
  <c r="P46" i="67"/>
  <c r="Q46" i="67" s="1"/>
  <c r="R46" i="67" s="1"/>
  <c r="P45" i="67"/>
  <c r="Q45" i="67" s="1"/>
  <c r="R45" i="67" s="1"/>
  <c r="P44" i="67"/>
  <c r="Q44" i="67" s="1"/>
  <c r="R44" i="67" s="1"/>
  <c r="P43" i="67"/>
  <c r="Q43" i="67" s="1"/>
  <c r="R43" i="67" s="1"/>
  <c r="P42" i="67"/>
  <c r="Q42" i="67" s="1"/>
  <c r="R42" i="67" s="1"/>
  <c r="P41" i="67"/>
  <c r="Q41" i="67" s="1"/>
  <c r="R41" i="67" s="1"/>
  <c r="P40" i="67"/>
  <c r="Q40" i="67" s="1"/>
  <c r="R40" i="67" s="1"/>
  <c r="G40" i="67"/>
  <c r="P23" i="67"/>
  <c r="Q23" i="67" s="1"/>
  <c r="R23" i="67" s="1"/>
  <c r="Q22" i="67"/>
  <c r="R22" i="67" s="1"/>
  <c r="P22" i="67"/>
  <c r="P21" i="67"/>
  <c r="Q21" i="67" s="1"/>
  <c r="R21" i="67" s="1"/>
  <c r="Q20" i="67"/>
  <c r="R20" i="67" s="1"/>
  <c r="P20" i="67"/>
  <c r="P19" i="67"/>
  <c r="Q19" i="67" s="1"/>
  <c r="R19" i="67" s="1"/>
  <c r="Q18" i="67"/>
  <c r="R18" i="67" s="1"/>
  <c r="P18" i="67"/>
  <c r="N18" i="67"/>
  <c r="Q17" i="67"/>
  <c r="R17" i="67" s="1"/>
  <c r="P17" i="67"/>
  <c r="N17" i="67"/>
  <c r="Q16" i="67"/>
  <c r="R16" i="67" s="1"/>
  <c r="P16" i="67"/>
  <c r="P15" i="67"/>
  <c r="Q15" i="67" s="1"/>
  <c r="R15" i="67" s="1"/>
  <c r="Q14" i="67"/>
  <c r="R14" i="67" s="1"/>
  <c r="P14" i="67"/>
  <c r="P13" i="67"/>
  <c r="Q13" i="67" s="1"/>
  <c r="R13" i="67" s="1"/>
  <c r="N13" i="67"/>
  <c r="P12" i="67"/>
  <c r="Q12" i="67" s="1"/>
  <c r="R12" i="67" s="1"/>
  <c r="N12" i="67"/>
  <c r="P11" i="67"/>
  <c r="Q11" i="67" s="1"/>
  <c r="R11" i="67" s="1"/>
  <c r="N11" i="67"/>
  <c r="P10" i="67"/>
  <c r="Q10" i="67" s="1"/>
  <c r="R10" i="67" s="1"/>
  <c r="Q9" i="67"/>
  <c r="R9" i="67" s="1"/>
  <c r="P9" i="67"/>
  <c r="P8" i="67"/>
  <c r="Q8" i="67" s="1"/>
  <c r="R8" i="67" s="1"/>
  <c r="G8" i="67"/>
  <c r="K8" i="67" s="1"/>
  <c r="P18" i="66"/>
  <c r="Q18" i="66" s="1"/>
  <c r="R18" i="66" s="1"/>
  <c r="P17" i="66"/>
  <c r="Q17" i="66" s="1"/>
  <c r="R17" i="66" s="1"/>
  <c r="Q16" i="66"/>
  <c r="R16" i="66" s="1"/>
  <c r="P16" i="66"/>
  <c r="P15" i="66"/>
  <c r="Q15" i="66" s="1"/>
  <c r="R15" i="66" s="1"/>
  <c r="P14" i="66"/>
  <c r="Q14" i="66" s="1"/>
  <c r="R14" i="66" s="1"/>
  <c r="P13" i="66"/>
  <c r="Q13" i="66" s="1"/>
  <c r="R13" i="66" s="1"/>
  <c r="P12" i="66"/>
  <c r="Q12" i="66" s="1"/>
  <c r="R12" i="66" s="1"/>
  <c r="P11" i="66"/>
  <c r="Q11" i="66" s="1"/>
  <c r="R11" i="66" s="1"/>
  <c r="P10" i="66"/>
  <c r="Q10" i="66" s="1"/>
  <c r="R10" i="66" s="1"/>
  <c r="N10" i="66"/>
  <c r="Q9" i="66"/>
  <c r="R9" i="66" s="1"/>
  <c r="P9" i="66"/>
  <c r="P8" i="66"/>
  <c r="Q8" i="66" s="1"/>
  <c r="R8" i="66" s="1"/>
  <c r="G8" i="66"/>
  <c r="P58" i="65"/>
  <c r="Q58" i="65" s="1"/>
  <c r="R58" i="65" s="1"/>
  <c r="N58" i="65"/>
  <c r="P57" i="65"/>
  <c r="Q57" i="65" s="1"/>
  <c r="R57" i="65" s="1"/>
  <c r="P56" i="65"/>
  <c r="Q56" i="65" s="1"/>
  <c r="R56" i="65" s="1"/>
  <c r="O52" i="65"/>
  <c r="P52" i="65" s="1"/>
  <c r="Q52" i="65" s="1"/>
  <c r="R52" i="65" s="1"/>
  <c r="O44" i="65"/>
  <c r="P44" i="65" s="1"/>
  <c r="Q44" i="65" s="1"/>
  <c r="R44" i="65" s="1"/>
  <c r="K44" i="65"/>
  <c r="O40" i="65"/>
  <c r="O41" i="65" s="1"/>
  <c r="G40" i="65"/>
  <c r="P26" i="65"/>
  <c r="Q26" i="65" s="1"/>
  <c r="R26" i="65" s="1"/>
  <c r="O26" i="65"/>
  <c r="N26" i="65"/>
  <c r="O25" i="65"/>
  <c r="P25" i="65" s="1"/>
  <c r="Q25" i="65" s="1"/>
  <c r="R25" i="65" s="1"/>
  <c r="O24" i="65"/>
  <c r="P24" i="65" s="1"/>
  <c r="Q24" i="65" s="1"/>
  <c r="R24" i="65" s="1"/>
  <c r="Q23" i="65"/>
  <c r="R23" i="65" s="1"/>
  <c r="P23" i="65"/>
  <c r="N23" i="65"/>
  <c r="O22" i="65"/>
  <c r="P22" i="65" s="1"/>
  <c r="Q22" i="65" s="1"/>
  <c r="R22" i="65" s="1"/>
  <c r="O21" i="65"/>
  <c r="P21" i="65" s="1"/>
  <c r="Q21" i="65" s="1"/>
  <c r="R21" i="65" s="1"/>
  <c r="N20" i="65"/>
  <c r="J20" i="65"/>
  <c r="J18" i="65"/>
  <c r="O18" i="65" s="1"/>
  <c r="P17" i="65"/>
  <c r="Q17" i="65" s="1"/>
  <c r="R17" i="65" s="1"/>
  <c r="P16" i="65"/>
  <c r="Q16" i="65" s="1"/>
  <c r="R16" i="65" s="1"/>
  <c r="N16" i="65"/>
  <c r="K16" i="65"/>
  <c r="O15" i="65"/>
  <c r="P15" i="65" s="1"/>
  <c r="Q15" i="65" s="1"/>
  <c r="R15" i="65" s="1"/>
  <c r="O14" i="65"/>
  <c r="P14" i="65" s="1"/>
  <c r="Q14" i="65" s="1"/>
  <c r="R14" i="65" s="1"/>
  <c r="P13" i="65"/>
  <c r="Q13" i="65" s="1"/>
  <c r="R13" i="65" s="1"/>
  <c r="P12" i="65"/>
  <c r="Q12" i="65" s="1"/>
  <c r="R12" i="65" s="1"/>
  <c r="K12" i="65"/>
  <c r="O10" i="65"/>
  <c r="P10" i="65" s="1"/>
  <c r="Q10" i="65" s="1"/>
  <c r="R10" i="65" s="1"/>
  <c r="O9" i="65"/>
  <c r="P9" i="65" s="1"/>
  <c r="Q9" i="65" s="1"/>
  <c r="R9" i="65" s="1"/>
  <c r="O8" i="65"/>
  <c r="P8" i="65" s="1"/>
  <c r="Q8" i="65" s="1"/>
  <c r="R8" i="65" s="1"/>
  <c r="K8" i="65"/>
  <c r="J8" i="65"/>
  <c r="O43" i="65" s="1"/>
  <c r="P43" i="65" s="1"/>
  <c r="Q43" i="65" s="1"/>
  <c r="R43" i="65" s="1"/>
  <c r="G8" i="65"/>
  <c r="K20" i="65" s="1"/>
  <c r="P40" i="65" l="1"/>
  <c r="Q40" i="65" s="1"/>
  <c r="R40" i="65" s="1"/>
  <c r="P18" i="65"/>
  <c r="Q18" i="65" s="1"/>
  <c r="R18" i="65" s="1"/>
  <c r="O19" i="65"/>
  <c r="P19" i="65" s="1"/>
  <c r="Q19" i="65" s="1"/>
  <c r="R19" i="65" s="1"/>
  <c r="O42" i="65"/>
  <c r="P42" i="65" s="1"/>
  <c r="Q42" i="65" s="1"/>
  <c r="R42" i="65" s="1"/>
  <c r="P41" i="65"/>
  <c r="Q41" i="65" s="1"/>
  <c r="R41" i="65" s="1"/>
  <c r="R12" i="68"/>
  <c r="R8" i="68"/>
  <c r="R13" i="68"/>
  <c r="R9" i="68"/>
  <c r="R14" i="68"/>
  <c r="R10" i="68"/>
  <c r="R15" i="68"/>
  <c r="R11" i="68"/>
  <c r="O45" i="65"/>
  <c r="O47" i="65"/>
  <c r="O49" i="65"/>
  <c r="O53" i="65"/>
  <c r="P53" i="65" s="1"/>
  <c r="Q53" i="65" s="1"/>
  <c r="R53" i="65" s="1"/>
  <c r="O54" i="65"/>
  <c r="P54" i="65" s="1"/>
  <c r="Q54" i="65" s="1"/>
  <c r="R54" i="65" s="1"/>
  <c r="O55" i="65"/>
  <c r="P55" i="65" s="1"/>
  <c r="Q55" i="65" s="1"/>
  <c r="R55" i="65" s="1"/>
  <c r="K19" i="68"/>
  <c r="K8" i="69"/>
  <c r="O20" i="65"/>
  <c r="P20" i="65" s="1"/>
  <c r="Q20" i="65" s="1"/>
  <c r="R20" i="65" s="1"/>
  <c r="O11" i="65"/>
  <c r="P11" i="65" s="1"/>
  <c r="Q11" i="65" s="1"/>
  <c r="R11" i="65" s="1"/>
  <c r="K18" i="65"/>
  <c r="P18" i="50"/>
  <c r="P19" i="50"/>
  <c r="P20" i="50"/>
  <c r="P21" i="50"/>
  <c r="P22" i="50"/>
  <c r="P23" i="50"/>
  <c r="P24" i="50"/>
  <c r="P25" i="50"/>
  <c r="P17" i="50"/>
  <c r="P62" i="49"/>
  <c r="P61" i="49"/>
  <c r="P60" i="49"/>
  <c r="P59" i="49"/>
  <c r="P58" i="49"/>
  <c r="P57" i="49"/>
  <c r="P56" i="49"/>
  <c r="P55" i="49"/>
  <c r="P54" i="49"/>
  <c r="P53" i="49"/>
  <c r="P52" i="49"/>
  <c r="P51" i="49"/>
  <c r="P50" i="49"/>
  <c r="P49" i="49"/>
  <c r="P48" i="49"/>
  <c r="P47" i="49"/>
  <c r="P46" i="49"/>
  <c r="P45" i="49"/>
  <c r="P44" i="49"/>
  <c r="P43" i="49"/>
  <c r="P27" i="49"/>
  <c r="P9" i="48"/>
  <c r="P10" i="48"/>
  <c r="P11" i="48"/>
  <c r="P12" i="48"/>
  <c r="P13" i="48"/>
  <c r="P14" i="48"/>
  <c r="P16" i="48"/>
  <c r="P17" i="48"/>
  <c r="P8" i="48"/>
  <c r="P9" i="63"/>
  <c r="P10" i="63"/>
  <c r="P11" i="63"/>
  <c r="P12" i="63"/>
  <c r="P13" i="63"/>
  <c r="P14" i="63"/>
  <c r="P15" i="63"/>
  <c r="P16" i="63"/>
  <c r="P17" i="63"/>
  <c r="P18" i="63"/>
  <c r="P19" i="63"/>
  <c r="P20" i="63"/>
  <c r="P21" i="63"/>
  <c r="P22" i="63"/>
  <c r="P23" i="63"/>
  <c r="P24" i="63"/>
  <c r="P25" i="63"/>
  <c r="P8" i="63"/>
  <c r="O17" i="44"/>
  <c r="P17" i="44" s="1"/>
  <c r="O16" i="44"/>
  <c r="P16" i="44" s="1"/>
  <c r="O15" i="44"/>
  <c r="P15" i="44" s="1"/>
  <c r="O14" i="44"/>
  <c r="P14" i="44" s="1"/>
  <c r="O13" i="44"/>
  <c r="P13" i="44" s="1"/>
  <c r="P48" i="42"/>
  <c r="O48" i="42"/>
  <c r="P47" i="42"/>
  <c r="O47" i="42"/>
  <c r="P46" i="42"/>
  <c r="O46" i="42"/>
  <c r="O16" i="42"/>
  <c r="P16" i="42"/>
  <c r="P14" i="42"/>
  <c r="O9" i="42"/>
  <c r="P9" i="42" s="1"/>
  <c r="O10" i="42"/>
  <c r="P10" i="42" s="1"/>
  <c r="O11" i="42"/>
  <c r="P11" i="42" s="1"/>
  <c r="O12" i="42"/>
  <c r="P12" i="42" s="1"/>
  <c r="O13" i="42"/>
  <c r="P13" i="42" s="1"/>
  <c r="O14" i="42"/>
  <c r="O15" i="42"/>
  <c r="P15" i="42" s="1"/>
  <c r="O17" i="42"/>
  <c r="P17" i="42" s="1"/>
  <c r="O18" i="42"/>
  <c r="P18" i="42" s="1"/>
  <c r="O19" i="42"/>
  <c r="P19" i="42" s="1"/>
  <c r="O20" i="42"/>
  <c r="P20" i="42" s="1"/>
  <c r="O21" i="42"/>
  <c r="P21" i="42" s="1"/>
  <c r="O22" i="42"/>
  <c r="P22" i="42" s="1"/>
  <c r="O23" i="42"/>
  <c r="P23" i="42" s="1"/>
  <c r="O24" i="42"/>
  <c r="P24" i="42" s="1"/>
  <c r="O25" i="42"/>
  <c r="P25" i="42" s="1"/>
  <c r="O26" i="42"/>
  <c r="P26" i="42" s="1"/>
  <c r="O27" i="42"/>
  <c r="P27" i="42" s="1"/>
  <c r="O8" i="42"/>
  <c r="P8" i="42" s="1"/>
  <c r="P49" i="65" l="1"/>
  <c r="Q49" i="65" s="1"/>
  <c r="R49" i="65" s="1"/>
  <c r="O50" i="65"/>
  <c r="P47" i="65"/>
  <c r="Q47" i="65" s="1"/>
  <c r="R47" i="65" s="1"/>
  <c r="O48" i="65"/>
  <c r="P48" i="65" s="1"/>
  <c r="Q48" i="65" s="1"/>
  <c r="R48" i="65" s="1"/>
  <c r="P45" i="65"/>
  <c r="Q45" i="65" s="1"/>
  <c r="R45" i="65" s="1"/>
  <c r="O46" i="65"/>
  <c r="P46" i="65" s="1"/>
  <c r="Q46" i="65" s="1"/>
  <c r="R46" i="65" s="1"/>
  <c r="P11" i="49"/>
  <c r="P50" i="65" l="1"/>
  <c r="Q50" i="65" s="1"/>
  <c r="R50" i="65" s="1"/>
  <c r="O51" i="65"/>
  <c r="P51" i="65" s="1"/>
  <c r="Q51" i="65" s="1"/>
  <c r="R51" i="65" s="1"/>
  <c r="P8" i="50"/>
  <c r="P9" i="50"/>
  <c r="P10" i="50"/>
  <c r="P11" i="50"/>
  <c r="P12" i="50"/>
  <c r="P13" i="50"/>
  <c r="P14" i="50"/>
  <c r="P15" i="50"/>
  <c r="P16" i="50"/>
  <c r="P9" i="49"/>
  <c r="P10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8" i="49"/>
  <c r="P27" i="45"/>
  <c r="P26" i="45"/>
  <c r="P25" i="45"/>
  <c r="P24" i="45"/>
  <c r="P23" i="45"/>
  <c r="P22" i="45"/>
  <c r="P21" i="45"/>
  <c r="P20" i="45"/>
  <c r="P19" i="45"/>
  <c r="P18" i="45"/>
  <c r="P17" i="45"/>
  <c r="P16" i="45"/>
  <c r="P15" i="45"/>
  <c r="P14" i="45"/>
  <c r="P13" i="45"/>
  <c r="P12" i="45"/>
  <c r="P11" i="45"/>
  <c r="P10" i="45"/>
  <c r="P9" i="45"/>
  <c r="P8" i="45"/>
  <c r="O26" i="44"/>
  <c r="P26" i="44" s="1"/>
  <c r="O25" i="44"/>
  <c r="P25" i="44" s="1"/>
  <c r="O24" i="44"/>
  <c r="P24" i="44" s="1"/>
  <c r="O23" i="44"/>
  <c r="P23" i="44" s="1"/>
  <c r="O21" i="44"/>
  <c r="P21" i="44" s="1"/>
  <c r="O20" i="44"/>
  <c r="P20" i="44" s="1"/>
  <c r="O19" i="44"/>
  <c r="P19" i="44" s="1"/>
  <c r="O18" i="44"/>
  <c r="P18" i="44" s="1"/>
  <c r="O12" i="44"/>
  <c r="P12" i="44" s="1"/>
  <c r="O11" i="44"/>
  <c r="P11" i="44" s="1"/>
  <c r="O10" i="44"/>
  <c r="P10" i="44" s="1"/>
  <c r="O9" i="44"/>
  <c r="P9" i="44" s="1"/>
  <c r="O8" i="44"/>
  <c r="P8" i="44" s="1"/>
  <c r="P45" i="42"/>
  <c r="O45" i="42"/>
  <c r="P44" i="42"/>
  <c r="O44" i="42"/>
  <c r="P43" i="42"/>
  <c r="O43" i="42"/>
  <c r="P42" i="42"/>
  <c r="O42" i="42"/>
  <c r="P41" i="42"/>
  <c r="O41" i="42"/>
  <c r="P40" i="42"/>
  <c r="O40" i="42"/>
</calcChain>
</file>

<file path=xl/sharedStrings.xml><?xml version="1.0" encoding="utf-8"?>
<sst xmlns="http://schemas.openxmlformats.org/spreadsheetml/2006/main" count="2657" uniqueCount="679">
  <si>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</si>
  <si>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</si>
  <si>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</si>
  <si>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</si>
  <si>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</si>
  <si>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</si>
  <si>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</si>
  <si>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</si>
  <si>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</si>
  <si>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</si>
  <si>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</si>
  <si>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</si>
  <si>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</si>
  <si>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</si>
  <si>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</si>
  <si>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</si>
  <si>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</si>
  <si>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مقدار خالص</t>
  </si>
  <si>
    <t>واحد</t>
  </si>
  <si>
    <t>1</t>
  </si>
  <si>
    <t>ناودانی عرضی</t>
  </si>
  <si>
    <t>2</t>
  </si>
  <si>
    <t>ناودانی طولی</t>
  </si>
  <si>
    <t>3</t>
  </si>
  <si>
    <t>پیچ دوسو</t>
  </si>
  <si>
    <t>M5x50</t>
  </si>
  <si>
    <t>4</t>
  </si>
  <si>
    <t>رولپلاک</t>
  </si>
  <si>
    <t>6x40</t>
  </si>
  <si>
    <t>5</t>
  </si>
  <si>
    <t>شبکه ایربافل</t>
  </si>
  <si>
    <t>600x300</t>
  </si>
  <si>
    <t>6</t>
  </si>
  <si>
    <t>چفت</t>
  </si>
  <si>
    <t>--</t>
  </si>
  <si>
    <t>7</t>
  </si>
  <si>
    <t>بست</t>
  </si>
  <si>
    <t>8</t>
  </si>
  <si>
    <t>پیچ شش گوش</t>
  </si>
  <si>
    <t>M6x40</t>
  </si>
  <si>
    <t>9</t>
  </si>
  <si>
    <t>مهره</t>
  </si>
  <si>
    <t>M6</t>
  </si>
  <si>
    <t>Air Baffle</t>
  </si>
  <si>
    <t>-</t>
  </si>
  <si>
    <t>لوله رایزر</t>
  </si>
  <si>
    <t>درپوش رایزر</t>
  </si>
  <si>
    <t>سری افشانک</t>
  </si>
  <si>
    <t>بدنه افشانک</t>
  </si>
  <si>
    <t>بست استیل</t>
  </si>
  <si>
    <t>اورینگ فنجانی</t>
  </si>
  <si>
    <t>10</t>
  </si>
  <si>
    <t>11</t>
  </si>
  <si>
    <t>12</t>
  </si>
  <si>
    <t>M6x30</t>
  </si>
  <si>
    <t>5x50x500</t>
  </si>
  <si>
    <t>Nozzle Bank</t>
  </si>
  <si>
    <t>13</t>
  </si>
  <si>
    <t>14</t>
  </si>
  <si>
    <t>ناودانی عرضی داخل</t>
  </si>
  <si>
    <t>ناودانی طولی داخل</t>
  </si>
  <si>
    <t>ناودانی عرضی بیرون</t>
  </si>
  <si>
    <t>ناودانی طولی بیرون</t>
  </si>
  <si>
    <t>لولا</t>
  </si>
  <si>
    <t>15</t>
  </si>
  <si>
    <t>16</t>
  </si>
  <si>
    <t>17</t>
  </si>
  <si>
    <t>18</t>
  </si>
  <si>
    <t>19</t>
  </si>
  <si>
    <t>20</t>
  </si>
  <si>
    <t>M10</t>
  </si>
  <si>
    <t>3"</t>
  </si>
  <si>
    <t>21</t>
  </si>
  <si>
    <t>22</t>
  </si>
  <si>
    <t>23</t>
  </si>
  <si>
    <t>24</t>
  </si>
  <si>
    <t>دستگیره</t>
  </si>
  <si>
    <t>قاب عرضی</t>
  </si>
  <si>
    <t>قاب طولی</t>
  </si>
  <si>
    <t>رولپلاگ</t>
  </si>
  <si>
    <t>M8</t>
  </si>
  <si>
    <t>M8x25</t>
  </si>
  <si>
    <t>نبشی عرضی پایین 1</t>
  </si>
  <si>
    <t>پایه</t>
  </si>
  <si>
    <t>1.5x250x270</t>
  </si>
  <si>
    <t>مهره شش گوش</t>
  </si>
  <si>
    <t>نردبانی</t>
  </si>
  <si>
    <t>نبشی نردبانی</t>
  </si>
  <si>
    <t>رابط نردبانی</t>
  </si>
  <si>
    <t>1.5x77x270</t>
  </si>
  <si>
    <t>نبشی عرضی بالا 1</t>
  </si>
  <si>
    <t>درزگیر</t>
  </si>
  <si>
    <t>M6x10</t>
  </si>
  <si>
    <t>فلنج تخلیه</t>
  </si>
  <si>
    <t>مهره سش گوش</t>
  </si>
  <si>
    <t>M6x15</t>
  </si>
  <si>
    <t>پیچ دو سو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</si>
  <si>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</si>
  <si>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</si>
  <si>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</si>
  <si>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</si>
  <si>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</si>
  <si>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</si>
  <si>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</si>
  <si>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Eliminator</t>
  </si>
  <si>
    <t>لوله کلکتور</t>
  </si>
  <si>
    <t>درپوش کلکتور</t>
  </si>
  <si>
    <t>فلنج جوشی کلکتور</t>
  </si>
  <si>
    <t>فلنج فلزی</t>
  </si>
  <si>
    <t>8x210x210</t>
  </si>
  <si>
    <t>فنجانی کلکتور</t>
  </si>
  <si>
    <t>درپوش فنجانی</t>
  </si>
  <si>
    <t>بوش  رایزر</t>
  </si>
  <si>
    <t>واشر آب بند</t>
  </si>
  <si>
    <t>ناودانی افشانک</t>
  </si>
  <si>
    <t>بست شکلاتی</t>
  </si>
  <si>
    <t>نبشی رایزر</t>
  </si>
  <si>
    <t>Ø90x2432</t>
  </si>
  <si>
    <t>V. Door</t>
  </si>
  <si>
    <t>در بزرگ</t>
  </si>
  <si>
    <t>1.2x836x2155</t>
  </si>
  <si>
    <t>در کوچک</t>
  </si>
  <si>
    <t>1.2x812x2109</t>
  </si>
  <si>
    <t>ناودانی تقویتی</t>
  </si>
  <si>
    <t>1.5x140x695</t>
  </si>
  <si>
    <t>2.9x40x40x800</t>
  </si>
  <si>
    <t>2.9x40x40x2100</t>
  </si>
  <si>
    <t>بوش دستگیره</t>
  </si>
  <si>
    <t>3/4" L=55</t>
  </si>
  <si>
    <t>لولا (نری)</t>
  </si>
  <si>
    <t>Ø12x100</t>
  </si>
  <si>
    <t>لولا (مادگی)</t>
  </si>
  <si>
    <t>15x20x50</t>
  </si>
  <si>
    <t>صفحه لولا (1)</t>
  </si>
  <si>
    <t>5x140x50</t>
  </si>
  <si>
    <t>صفحه لولا (2)</t>
  </si>
  <si>
    <t>5x90x50</t>
  </si>
  <si>
    <t>M8x70</t>
  </si>
  <si>
    <t>پیچ سر آلن</t>
  </si>
  <si>
    <t>سیخک</t>
  </si>
  <si>
    <t>2.9x40x40x150</t>
  </si>
  <si>
    <t>فوم</t>
  </si>
  <si>
    <t>طلق</t>
  </si>
  <si>
    <t>3x200x500</t>
  </si>
  <si>
    <t>نوار درزگیر</t>
  </si>
  <si>
    <t>L=2500</t>
  </si>
  <si>
    <t>مغزی نوار درزگیر</t>
  </si>
  <si>
    <t>10x30x6000</t>
  </si>
  <si>
    <t>لاستیک اسفنجی</t>
  </si>
  <si>
    <t>40x800x2000</t>
  </si>
  <si>
    <t>مهره کاسه نمد دار</t>
  </si>
  <si>
    <t>صفحه ریل</t>
  </si>
  <si>
    <t>2x170x600</t>
  </si>
  <si>
    <t>نبشی ریل</t>
  </si>
  <si>
    <t>1.5x27x600</t>
  </si>
  <si>
    <t>نبشی عرضی داخل</t>
  </si>
  <si>
    <t>نبشی طولی داخل</t>
  </si>
  <si>
    <t>1.5x40x590</t>
  </si>
  <si>
    <t>نبشی عرضی بیرون</t>
  </si>
  <si>
    <t>نبشی طولی بیرون</t>
  </si>
  <si>
    <t>2x43x597</t>
  </si>
  <si>
    <t xml:space="preserve">توری </t>
  </si>
  <si>
    <t>Ø8x250</t>
  </si>
  <si>
    <t>تسمه تقویتی بیرون</t>
  </si>
  <si>
    <t>2x30x538</t>
  </si>
  <si>
    <t>تسمه تقویتی داخل</t>
  </si>
  <si>
    <t>1/5x30x538</t>
  </si>
  <si>
    <t>S.W.F</t>
  </si>
  <si>
    <t>1.5x40x880</t>
  </si>
  <si>
    <t>2x43x887</t>
  </si>
  <si>
    <t>600x900</t>
  </si>
  <si>
    <t>ریل</t>
  </si>
  <si>
    <t>قاب</t>
  </si>
  <si>
    <t>نبشی قاب عرضی</t>
  </si>
  <si>
    <t>ناودانی قاب طولی</t>
  </si>
  <si>
    <t>تیوب شیت</t>
  </si>
  <si>
    <t>تیوب</t>
  </si>
  <si>
    <t>کلکتور</t>
  </si>
  <si>
    <t>4x70x142</t>
  </si>
  <si>
    <t>فلنج گلویی جوشی</t>
  </si>
  <si>
    <t>نبشی اتصال</t>
  </si>
  <si>
    <t>50x50x80</t>
  </si>
  <si>
    <t>1"</t>
  </si>
  <si>
    <t>1" L=100</t>
  </si>
  <si>
    <t>Coil</t>
  </si>
  <si>
    <t>کویل</t>
  </si>
  <si>
    <t>Damper</t>
  </si>
  <si>
    <t>قاب عرض دمپر</t>
  </si>
  <si>
    <t>قاب طولی دمپر</t>
  </si>
  <si>
    <t>تیرک</t>
  </si>
  <si>
    <t>نوار دمپر</t>
  </si>
  <si>
    <t>بادامک</t>
  </si>
  <si>
    <t>فشنگی</t>
  </si>
  <si>
    <t>واسطه 4 گوش</t>
  </si>
  <si>
    <t>گوشک</t>
  </si>
  <si>
    <t>بوش تفلون</t>
  </si>
  <si>
    <t>بازو بزرگ</t>
  </si>
  <si>
    <t>بازو کوچک</t>
  </si>
  <si>
    <t>واشر</t>
  </si>
  <si>
    <t>اشپیل</t>
  </si>
  <si>
    <t>نبشی اتصال قاب</t>
  </si>
  <si>
    <t>پیچ آلن مخروطی</t>
  </si>
  <si>
    <t>مهره 4 گوش</t>
  </si>
  <si>
    <t>A12</t>
  </si>
  <si>
    <t>2/6x30</t>
  </si>
  <si>
    <t>2x50x260</t>
  </si>
  <si>
    <t>M10x15</t>
  </si>
  <si>
    <t>دمپر</t>
  </si>
  <si>
    <t>رینگ</t>
  </si>
  <si>
    <t>مخروطی</t>
  </si>
  <si>
    <t>فلنج</t>
  </si>
  <si>
    <t xml:space="preserve">پایه </t>
  </si>
  <si>
    <t>صفحه</t>
  </si>
  <si>
    <t>ورق اتصال پایه به بدنه</t>
  </si>
  <si>
    <t>M16x40</t>
  </si>
  <si>
    <t>3x160x160</t>
  </si>
  <si>
    <t>Fan Case</t>
  </si>
  <si>
    <t>اتصالات</t>
  </si>
  <si>
    <t>25</t>
  </si>
  <si>
    <t>26</t>
  </si>
  <si>
    <t>27</t>
  </si>
  <si>
    <t>Kg</t>
  </si>
  <si>
    <t>Pcs</t>
  </si>
  <si>
    <t>1/5x88x600</t>
  </si>
  <si>
    <t>1/5x88x900</t>
  </si>
  <si>
    <t>رایزر</t>
  </si>
  <si>
    <t>در تهویه</t>
  </si>
  <si>
    <t>1.5x97x1520</t>
  </si>
  <si>
    <t>نبشی عرضی پایین 2</t>
  </si>
  <si>
    <t>1.5x97x1744</t>
  </si>
  <si>
    <t>1.5x97x3062</t>
  </si>
  <si>
    <t>نبشی عرضی بالا 2</t>
  </si>
  <si>
    <t>1.5x136x1520</t>
  </si>
  <si>
    <t>1.5x136x1744</t>
  </si>
  <si>
    <t>1.5x97x2988</t>
  </si>
  <si>
    <t>L=2961</t>
  </si>
  <si>
    <t>28</t>
  </si>
  <si>
    <t>29</t>
  </si>
  <si>
    <t>ناودانی رابط نبشی بالا</t>
  </si>
  <si>
    <t>نبشی اتصال امگا به پایه</t>
  </si>
  <si>
    <t>1.5x80x250</t>
  </si>
  <si>
    <t>2x50x75</t>
  </si>
  <si>
    <t>امگا</t>
  </si>
  <si>
    <t>1.5x240x2988</t>
  </si>
  <si>
    <t>Ø40x3040</t>
  </si>
  <si>
    <t>1.5x88x4944</t>
  </si>
  <si>
    <t>1.2x836x836</t>
  </si>
  <si>
    <t>1.2x812x812</t>
  </si>
  <si>
    <t>40x696x696</t>
  </si>
  <si>
    <t>8x1000x1000</t>
  </si>
  <si>
    <t>5x30x3200</t>
  </si>
  <si>
    <t>1/5x88x4944</t>
  </si>
  <si>
    <t>1/5x84x3035</t>
  </si>
  <si>
    <t>4x95x2888</t>
  </si>
  <si>
    <t>4x355x1275</t>
  </si>
  <si>
    <t>6x155x2888</t>
  </si>
  <si>
    <t>1/2" L=1325</t>
  </si>
  <si>
    <t>4x150x2888</t>
  </si>
  <si>
    <t>زانو جوشی</t>
  </si>
  <si>
    <t>1/5x370x2736</t>
  </si>
  <si>
    <t>1/5x370x1224</t>
  </si>
  <si>
    <t>1/5x290x1224</t>
  </si>
  <si>
    <t>2x36x1224</t>
  </si>
  <si>
    <t>4x93x50</t>
  </si>
  <si>
    <t>تیغه ا</t>
  </si>
  <si>
    <t>1/5x370x1412</t>
  </si>
  <si>
    <t>1/5x290x1412</t>
  </si>
  <si>
    <t>2x36x1412</t>
  </si>
  <si>
    <t>M10x25</t>
  </si>
  <si>
    <t>3x415x5045</t>
  </si>
  <si>
    <t>2/5x1250x312</t>
  </si>
  <si>
    <t>4x1205x284</t>
  </si>
  <si>
    <t>10x940x500</t>
  </si>
  <si>
    <t>10x500x830</t>
  </si>
  <si>
    <t>10x160x160</t>
  </si>
  <si>
    <t>Fan Case
1600
30-1000</t>
  </si>
  <si>
    <t>Fan Case
1120
15-1500</t>
  </si>
  <si>
    <t>3x365x3537</t>
  </si>
  <si>
    <t>2/5x1000x317</t>
  </si>
  <si>
    <t>4x1000x210</t>
  </si>
  <si>
    <t>نوع محصول</t>
  </si>
  <si>
    <t>04</t>
  </si>
  <si>
    <t>03</t>
  </si>
  <si>
    <t>01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</si>
  <si>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</si>
  <si>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</si>
  <si>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</si>
  <si>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</si>
  <si>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</si>
  <si>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</si>
  <si>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</si>
  <si>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</si>
  <si>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</si>
  <si>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</si>
  <si>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</si>
  <si>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</si>
  <si>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</si>
  <si>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</si>
  <si>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</si>
  <si>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</si>
  <si>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</si>
  <si>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</si>
  <si>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</si>
  <si>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</si>
  <si>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</si>
  <si>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</si>
  <si>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</si>
  <si>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</si>
  <si>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</si>
  <si>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</si>
  <si>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</si>
  <si>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</si>
  <si>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</si>
  <si>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</si>
  <si>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</si>
  <si>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</si>
  <si>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</si>
  <si>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</si>
  <si>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</si>
  <si>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</si>
  <si>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</si>
  <si>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</si>
  <si>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</si>
  <si>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</si>
  <si>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</si>
  <si>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</si>
  <si>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</si>
  <si>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</si>
  <si>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</si>
  <si>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</si>
  <si>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</si>
  <si>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</si>
  <si>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</si>
  <si>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</si>
  <si>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</si>
  <si>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</si>
  <si>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</si>
  <si>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</si>
  <si>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</si>
  <si>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</si>
  <si>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</si>
  <si>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</si>
  <si>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</si>
  <si>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</si>
  <si>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</si>
  <si>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</si>
  <si>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</si>
  <si>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</si>
  <si>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</si>
  <si>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</si>
  <si>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</si>
  <si>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</si>
  <si>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</si>
  <si>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</si>
  <si>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</si>
  <si>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</si>
  <si>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</si>
  <si>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</si>
  <si>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</si>
  <si>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</si>
  <si>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</si>
  <si>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</si>
  <si>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</si>
  <si>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</si>
  <si>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</si>
  <si>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</si>
  <si>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</si>
  <si>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</si>
  <si>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</si>
  <si>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</si>
  <si>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</si>
  <si>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</si>
  <si>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</si>
  <si>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</si>
  <si>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</si>
  <si>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</si>
  <si>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پیچ رولپلاگ</t>
  </si>
  <si>
    <t>M8x80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</si>
  <si>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</si>
  <si>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</si>
  <si>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</si>
  <si>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</si>
  <si>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</si>
  <si>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</si>
  <si>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</si>
  <si>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</si>
  <si>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</si>
  <si>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</si>
  <si>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</si>
  <si>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</si>
  <si>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</si>
  <si>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</si>
  <si>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</si>
  <si>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</si>
  <si>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نبشی نگهدارنده صفحه موتور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</si>
  <si>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</si>
  <si>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</si>
  <si>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</si>
  <si>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</si>
  <si>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</si>
  <si>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</si>
  <si>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</si>
  <si>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</si>
  <si>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</si>
  <si>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</si>
  <si>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</si>
  <si>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</si>
  <si>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</si>
  <si>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</si>
  <si>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</si>
  <si>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</si>
  <si>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</si>
  <si>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مهره سر میل پیچ</t>
  </si>
  <si>
    <t>M16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</si>
  <si>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</si>
  <si>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</si>
  <si>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</si>
  <si>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</si>
  <si>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</si>
  <si>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</si>
  <si>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</si>
  <si>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</si>
  <si>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</si>
  <si>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</si>
  <si>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</si>
  <si>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</si>
  <si>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</si>
  <si>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</si>
  <si>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</si>
  <si>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</si>
  <si>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</si>
  <si>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</si>
  <si>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</si>
  <si>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</si>
  <si>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</si>
  <si>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</si>
  <si>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</si>
  <si>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</si>
  <si>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</si>
  <si>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</si>
  <si>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</si>
  <si>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</si>
  <si>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</si>
  <si>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</si>
  <si>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</si>
  <si>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</si>
  <si>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</si>
  <si>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</si>
  <si>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</si>
  <si>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</si>
  <si>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</si>
  <si>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</si>
  <si>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</si>
  <si>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</si>
  <si>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</si>
  <si>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</si>
  <si>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</si>
  <si>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</si>
  <si>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</si>
  <si>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</si>
  <si>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</si>
  <si>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</si>
  <si>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</si>
  <si>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</si>
  <si>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</si>
  <si>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</si>
  <si>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</si>
  <si>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</si>
  <si>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</si>
  <si>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</si>
  <si>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</si>
  <si>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</si>
  <si>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Casing</t>
  </si>
  <si>
    <t>قاب بالایی داست کالکتور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</si>
  <si>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</si>
  <si>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</si>
  <si>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</si>
  <si>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</si>
  <si>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</si>
  <si>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</si>
  <si>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</si>
  <si>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</si>
  <si>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</si>
  <si>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</si>
  <si>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</si>
  <si>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</si>
  <si>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</si>
  <si>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</si>
  <si>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</si>
  <si>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</si>
  <si>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</si>
  <si>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</si>
  <si>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</si>
  <si>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قاب پایینی داست کالکتور</t>
  </si>
  <si>
    <t>قاب پایین</t>
  </si>
  <si>
    <t>استوانه قاب پایین</t>
  </si>
  <si>
    <t>بسته اتصالات</t>
  </si>
  <si>
    <t>کیسه یک سر باز</t>
  </si>
  <si>
    <t>Ø350</t>
  </si>
  <si>
    <t>کیسه دو سر باز</t>
  </si>
  <si>
    <t>بست کیسه داست کالکتور</t>
  </si>
  <si>
    <t>Fan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</si>
  <si>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</si>
  <si>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</si>
  <si>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</si>
  <si>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</si>
  <si>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</si>
  <si>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</si>
  <si>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</si>
  <si>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</si>
  <si>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</si>
  <si>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</si>
  <si>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</si>
  <si>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</si>
  <si>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</si>
  <si>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</si>
  <si>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</si>
  <si>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</si>
  <si>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</si>
  <si>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میخ پرچ</t>
  </si>
  <si>
    <t>M3x8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</si>
  <si>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</si>
  <si>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</si>
  <si>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</si>
  <si>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</si>
  <si>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</si>
  <si>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</si>
  <si>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</si>
  <si>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</si>
  <si>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</si>
  <si>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</si>
  <si>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</si>
  <si>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</si>
  <si>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</si>
  <si>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</si>
  <si>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</si>
  <si>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</si>
  <si>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</si>
  <si>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Nozzle Pack</t>
  </si>
  <si>
    <t>ناودانی نگهدارنده نازل مکش</t>
  </si>
  <si>
    <t>2x150x300</t>
  </si>
  <si>
    <t>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</si>
  <si>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</si>
  <si>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</si>
  <si>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</si>
  <si>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</si>
  <si>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</si>
  <si>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</si>
  <si>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2x20x200</t>
  </si>
  <si>
    <t>دستگیره نازل مکش</t>
  </si>
  <si>
    <t>2x25x350</t>
  </si>
  <si>
    <t>پیچ اتصال نازل مکش</t>
  </si>
  <si>
    <t>مهره اتصال نازل مکش</t>
  </si>
  <si>
    <t>هرزگرد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</si>
  <si>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</si>
  <si>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</si>
  <si>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</si>
  <si>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</si>
  <si>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</si>
  <si>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</si>
  <si>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Ø110,</t>
  </si>
  <si>
    <t>پایه نگهدارنده لوله خرطومی</t>
  </si>
  <si>
    <t>صفحه اتصال پایه نگهدارنده لوله خرطومی</t>
  </si>
  <si>
    <t>3x30x100</t>
  </si>
  <si>
    <t>لوله پایه نگهدارنده لوله خرطومی</t>
  </si>
  <si>
    <t>Ø30,L=1500</t>
  </si>
  <si>
    <t>صفحه زیر پایه نگهدارنده لوله خرطومی</t>
  </si>
  <si>
    <t>5x200x200</t>
  </si>
  <si>
    <t xml:space="preserve"> Stand 5100</t>
  </si>
  <si>
    <t>Stand-5100</t>
  </si>
  <si>
    <t>صفحه اتصال پایه</t>
  </si>
  <si>
    <t>5x170x340</t>
  </si>
  <si>
    <t>قوطی پایه</t>
  </si>
  <si>
    <t>70*70,L=1500</t>
  </si>
  <si>
    <t>درپوش قوطی پایه</t>
  </si>
  <si>
    <t>8x300x300</t>
  </si>
  <si>
    <t xml:space="preserve">پیچ </t>
  </si>
  <si>
    <t>Casing 5100</t>
  </si>
  <si>
    <t>بدنه جاروب</t>
  </si>
  <si>
    <t>نبشی طولی فلنج</t>
  </si>
  <si>
    <t>30x30,L=340</t>
  </si>
  <si>
    <t>نبشی عرضی فلنج</t>
  </si>
  <si>
    <t>30x30,L=110</t>
  </si>
  <si>
    <t>بدنه طولی</t>
  </si>
  <si>
    <t>2x274x1700</t>
  </si>
  <si>
    <t>ریل جاروب</t>
  </si>
  <si>
    <t>2x150x270</t>
  </si>
  <si>
    <t>رابط ناودانی تقویتی</t>
  </si>
  <si>
    <t>3x50x170</t>
  </si>
  <si>
    <t>لاستیک درزگیر</t>
  </si>
  <si>
    <t>تسمه نگهدارنده لاستیک درزگیر</t>
  </si>
  <si>
    <t>1.5x30x1700</t>
  </si>
  <si>
    <t>پرچ</t>
  </si>
  <si>
    <t>در جاروب</t>
  </si>
  <si>
    <t>1.5x375x1700</t>
  </si>
  <si>
    <t>پیچ در چاروب</t>
  </si>
  <si>
    <t>M1/4x15</t>
  </si>
  <si>
    <t>مهره در جاروب</t>
  </si>
  <si>
    <t xml:space="preserve">M1/4 </t>
  </si>
  <si>
    <t>باکس الکتروموتور</t>
  </si>
  <si>
    <t>باکس الکترو موتور</t>
  </si>
  <si>
    <t>2x250x1200</t>
  </si>
  <si>
    <t>درب باکس الکترو موتور</t>
  </si>
  <si>
    <t>2x140x240</t>
  </si>
  <si>
    <t>صفحه انتهایی باکس الکترو موتور</t>
  </si>
  <si>
    <t>3x170x340</t>
  </si>
  <si>
    <t>پیچ در باکس الکتروموتور</t>
  </si>
  <si>
    <t>مهره در باکس الکتروموتور</t>
  </si>
  <si>
    <t>پیچ رابط ناودانی</t>
  </si>
  <si>
    <t>Tractor</t>
  </si>
  <si>
    <t>واگن اول</t>
  </si>
  <si>
    <t>صفحه کشنده</t>
  </si>
  <si>
    <t>3x200x300</t>
  </si>
  <si>
    <t>نبشی صفحه کشنده</t>
  </si>
  <si>
    <t>30x30, L=30</t>
  </si>
  <si>
    <t>صفحه زیر واگن اول</t>
  </si>
  <si>
    <t>2x260x300</t>
  </si>
  <si>
    <t>صفحه روی واگن اول</t>
  </si>
  <si>
    <t>2x100x300</t>
  </si>
  <si>
    <t>لوله رابط صفحات واگن اول</t>
  </si>
  <si>
    <t>چرخ واگن اول</t>
  </si>
  <si>
    <t>بلبرینگ چرخ واگن</t>
  </si>
  <si>
    <t>6000z</t>
  </si>
  <si>
    <t xml:space="preserve">پیچ چرخ واگن </t>
  </si>
  <si>
    <t>M10x60</t>
  </si>
  <si>
    <t>مهره چرخ واگن</t>
  </si>
  <si>
    <t>واشر چرخ واگن</t>
  </si>
  <si>
    <t>واگن دوم</t>
  </si>
  <si>
    <t>صفحه زیر واگن دوم</t>
  </si>
  <si>
    <t>صفحه روی واگن دوم</t>
  </si>
  <si>
    <t>لوله رابط صفحات واگن دوم</t>
  </si>
  <si>
    <t>چرخ واگن دوم</t>
  </si>
  <si>
    <t>واگن سوم</t>
  </si>
  <si>
    <t>صفحه زیر واگن سوم</t>
  </si>
  <si>
    <t>صفحه روی واگن سوم</t>
  </si>
  <si>
    <t>لوله رابط صفحات واگن سوم</t>
  </si>
  <si>
    <t>چرخ واگن سوم</t>
  </si>
  <si>
    <t>ناودانی اتصال واگن</t>
  </si>
  <si>
    <t>2x120x1700</t>
  </si>
  <si>
    <t>پیچ اتصال واگن</t>
  </si>
  <si>
    <t>مهره اتصال واگن</t>
  </si>
  <si>
    <t xml:space="preserve">M1/4  </t>
  </si>
  <si>
    <t>Driver</t>
  </si>
  <si>
    <t>چرخدنده متحرک</t>
  </si>
  <si>
    <t>خورشیدی چرخدنده متحرک</t>
  </si>
  <si>
    <t>شفت چرخدنده متحرک</t>
  </si>
  <si>
    <t>بلبرینگ چرخدنده متحرک</t>
  </si>
  <si>
    <t>مهره چرخدنده متحرک</t>
  </si>
  <si>
    <t>واشر چرخدنده متحرک</t>
  </si>
  <si>
    <t>چرخدنده ثابت</t>
  </si>
  <si>
    <t>خورشیدی چرخدنده ثابت</t>
  </si>
  <si>
    <t>شفت چرخدنده ثابت</t>
  </si>
  <si>
    <t>پیچ آلن چرخدنده ثابت</t>
  </si>
  <si>
    <t>M5x15</t>
  </si>
  <si>
    <t>شفت الکترو گیربکس</t>
  </si>
  <si>
    <t>پیچ سر شفت الکترو گیربکس</t>
  </si>
  <si>
    <t>واشر شفت الکتروگیربکس</t>
  </si>
  <si>
    <t>A6</t>
  </si>
  <si>
    <t>مجموعه الکتروگیربکس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</si>
  <si>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</si>
  <si>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</si>
  <si>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</si>
  <si>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</si>
  <si>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</si>
  <si>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</t>
  </si>
  <si>
    <t>زنجیر40</t>
  </si>
  <si>
    <t>تفلونی زنجیر</t>
  </si>
  <si>
    <t>40x40x40</t>
  </si>
  <si>
    <t>صفحه تفلونی</t>
  </si>
  <si>
    <t>2x10x10</t>
  </si>
  <si>
    <t>پیچ تفلونی</t>
  </si>
  <si>
    <t>Ø12,L=1700</t>
  </si>
  <si>
    <t>Ø22,L=40</t>
  </si>
  <si>
    <t>Ø65,L=15</t>
  </si>
  <si>
    <t>Ø80</t>
  </si>
  <si>
    <t>Ø18,L=40</t>
  </si>
  <si>
    <t>Ø35,L=60</t>
  </si>
  <si>
    <t>Ø35,L=200</t>
  </si>
  <si>
    <r>
      <t>Ø</t>
    </r>
    <r>
      <rPr>
        <sz val="11.5"/>
        <rFont val="Times New Roman"/>
        <family val="1"/>
        <scheme val="major"/>
      </rPr>
      <t>60,L=50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</si>
</sst>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Arial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8"/>
      <color theme="1"/>
      <name val="Times New Roman"/>
      <family val="1"/>
      <scheme val="major"/>
    </font>
    <font>
      <sz val="8"/>
      <name val="Times New Roman"/>
      <family val="1"/>
      <scheme val="major"/>
    </font>
    <font>
      <sz val="6"/>
      <name val="Times New Roman"/>
      <family val="1"/>
      <scheme val="major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Arial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8"/>
      <name val="Times New Roman"/>
      <family val="1"/>
    </font>
    <font>
      <sz val="11"/>
      <color rgb="FFFF0000"/>
      <name val="Arial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1.5"/>
      <name val="Times New Roman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quotePrefix="1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/>
    </xf>
    <xf numFmtId="0" fontId="0" fillId="0" borderId="1" xfId="0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0" fillId="0" borderId="6" xfId="0" quotePrefix="1" applyFont="1" applyFill="1" applyBorder="1" applyAlignment="1">
      <alignment horizontal="center" vertical="center" wrapText="1"/>
    </xf>
    <xf numFmtId="0" fontId="10" fillId="0" borderId="8" xfId="0" quotePrefix="1" applyFont="1" applyFill="1" applyBorder="1" applyAlignment="1">
      <alignment horizontal="center" vertical="center" wrapText="1"/>
    </xf>
    <xf numFmtId="0" fontId="10" fillId="0" borderId="7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10" fillId="0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center" vertical="center" wrapText="1"/>
    </xf>
    <xf numFmtId="0" fontId="6" fillId="0" borderId="8" xfId="0" quotePrefix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5" fillId="0" borderId="10" xfId="0" applyNumberFormat="1" applyFont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 applyBorder="1"/>
    <xf numFmtId="1" fontId="5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14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4" fillId="0" borderId="1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0" fillId="4" borderId="0" xfId="0" applyFill="1" applyBorder="1"/>
    <xf numFmtId="0" fontId="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49" fontId="23" fillId="0" borderId="6" xfId="0" applyNumberFormat="1" applyFont="1" applyBorder="1" applyAlignment="1">
      <alignment horizontal="center" vertical="center"/>
    </xf>
    <xf numFmtId="1" fontId="23" fillId="0" borderId="6" xfId="0" applyNumberFormat="1" applyFont="1" applyBorder="1" applyAlignment="1">
      <alignment horizontal="center" vertical="center"/>
    </xf>
    <xf numFmtId="49" fontId="23" fillId="0" borderId="8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/>
    </xf>
    <xf numFmtId="49" fontId="23" fillId="0" borderId="7" xfId="0" applyNumberFormat="1" applyFont="1" applyBorder="1" applyAlignment="1">
      <alignment horizontal="center" vertical="center"/>
    </xf>
    <xf numFmtId="1" fontId="23" fillId="0" borderId="7" xfId="0" applyNumberFormat="1" applyFont="1" applyBorder="1" applyAlignment="1">
      <alignment horizontal="center" vertical="center"/>
    </xf>
    <xf numFmtId="49" fontId="24" fillId="0" borderId="6" xfId="0" applyNumberFormat="1" applyFont="1" applyFill="1" applyBorder="1" applyAlignment="1">
      <alignment horizontal="center" vertical="center"/>
    </xf>
    <xf numFmtId="49" fontId="24" fillId="0" borderId="8" xfId="0" applyNumberFormat="1" applyFont="1" applyFill="1" applyBorder="1" applyAlignment="1">
      <alignment horizontal="center" vertical="center"/>
    </xf>
    <xf numFmtId="49" fontId="24" fillId="0" borderId="7" xfId="0" applyNumberFormat="1" applyFont="1" applyFill="1" applyBorder="1" applyAlignment="1">
      <alignment horizontal="center" vertical="center"/>
    </xf>
    <xf numFmtId="49" fontId="23" fillId="0" borderId="6" xfId="0" applyNumberFormat="1" applyFont="1" applyFill="1" applyBorder="1" applyAlignment="1">
      <alignment horizontal="center" vertical="center" wrapText="1"/>
    </xf>
    <xf numFmtId="1" fontId="23" fillId="0" borderId="6" xfId="0" applyNumberFormat="1" applyFont="1" applyFill="1" applyBorder="1" applyAlignment="1">
      <alignment horizontal="center" vertical="center" wrapText="1"/>
    </xf>
    <xf numFmtId="49" fontId="23" fillId="0" borderId="7" xfId="0" applyNumberFormat="1" applyFont="1" applyFill="1" applyBorder="1" applyAlignment="1">
      <alignment horizontal="center" vertical="center" wrapText="1"/>
    </xf>
    <xf numFmtId="1" fontId="23" fillId="0" borderId="7" xfId="0" applyNumberFormat="1" applyFont="1" applyFill="1" applyBorder="1" applyAlignment="1">
      <alignment horizontal="center" vertical="center" wrapText="1"/>
    </xf>
    <xf numFmtId="49" fontId="23" fillId="0" borderId="8" xfId="0" applyNumberFormat="1" applyFont="1" applyFill="1" applyBorder="1" applyAlignment="1">
      <alignment horizontal="center" vertical="center" wrapText="1"/>
    </xf>
    <xf numFmtId="1" fontId="23" fillId="0" borderId="8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/>
    </xf>
    <xf numFmtId="1" fontId="23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1" fontId="23" fillId="0" borderId="6" xfId="0" applyNumberFormat="1" applyFont="1" applyFill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1" fontId="23" fillId="0" borderId="8" xfId="0" applyNumberFormat="1" applyFont="1" applyFill="1" applyBorder="1" applyAlignment="1">
      <alignment horizontal="center" vertical="center"/>
    </xf>
    <xf numFmtId="1" fontId="23" fillId="0" borderId="7" xfId="0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0" fontId="24" fillId="0" borderId="1" xfId="0" quotePrefix="1" applyNumberFormat="1" applyFont="1" applyFill="1" applyBorder="1" applyAlignment="1">
      <alignment horizontal="center" vertical="center" wrapText="1"/>
    </xf>
    <xf numFmtId="1" fontId="24" fillId="0" borderId="1" xfId="0" quotePrefix="1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49" fontId="24" fillId="0" borderId="11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 wrapText="1"/>
    </xf>
    <xf numFmtId="1" fontId="9" fillId="0" borderId="6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49" fontId="24" fillId="0" borderId="1" xfId="0" quotePrefix="1" applyNumberFormat="1" applyFont="1" applyFill="1" applyBorder="1" applyAlignment="1">
      <alignment horizontal="center" vertical="center" wrapText="1"/>
    </xf>
    <xf numFmtId="49" fontId="24" fillId="0" borderId="11" xfId="0" quotePrefix="1" applyNumberFormat="1" applyFont="1" applyFill="1" applyBorder="1" applyAlignment="1">
      <alignment horizontal="center" vertical="center" wrapText="1"/>
    </xf>
    <xf numFmtId="49" fontId="24" fillId="0" borderId="14" xfId="0" quotePrefix="1" applyNumberFormat="1" applyFont="1" applyFill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/>
    </xf>
    <xf numFmtId="1" fontId="24" fillId="0" borderId="6" xfId="0" quotePrefix="1" applyNumberFormat="1" applyFont="1" applyFill="1" applyBorder="1" applyAlignment="1">
      <alignment horizontal="center" vertical="center" wrapText="1"/>
    </xf>
    <xf numFmtId="1" fontId="24" fillId="0" borderId="8" xfId="0" quotePrefix="1" applyNumberFormat="1" applyFont="1" applyFill="1" applyBorder="1" applyAlignment="1">
      <alignment horizontal="center" vertical="center" wrapText="1"/>
    </xf>
    <xf numFmtId="1" fontId="24" fillId="0" borderId="7" xfId="0" quotePrefix="1" applyNumberFormat="1" applyFont="1" applyFill="1" applyBorder="1" applyAlignment="1">
      <alignment horizontal="center" vertical="center" wrapText="1"/>
    </xf>
    <xf numFmtId="49" fontId="24" fillId="0" borderId="6" xfId="0" quotePrefix="1" applyNumberFormat="1" applyFont="1" applyFill="1" applyBorder="1" applyAlignment="1">
      <alignment horizontal="center" vertical="center" wrapText="1"/>
    </xf>
    <xf numFmtId="49" fontId="24" fillId="0" borderId="8" xfId="0" quotePrefix="1" applyNumberFormat="1" applyFont="1" applyFill="1" applyBorder="1" applyAlignment="1">
      <alignment horizontal="center" vertical="center" wrapText="1"/>
    </xf>
    <xf numFmtId="49" fontId="24" fillId="0" borderId="7" xfId="0" quotePrefix="1" applyNumberFormat="1" applyFont="1" applyFill="1" applyBorder="1" applyAlignment="1">
      <alignment horizontal="center" vertical="center" wrapText="1"/>
    </xf>
    <xf numFmtId="0" fontId="21" fillId="4" borderId="0" xfId="0" applyFont="1" applyFill="1" applyBorder="1"/>
    <xf numFmtId="1" fontId="13" fillId="4" borderId="1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/>
    </xf>
    <xf numFmtId="1" fontId="18" fillId="4" borderId="1" xfId="0" applyNumberFormat="1" applyFont="1" applyFill="1" applyBorder="1" applyAlignment="1">
      <alignment horizontal="center" vertical="center"/>
    </xf>
    <xf numFmtId="1" fontId="16" fillId="4" borderId="1" xfId="0" quotePrefix="1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1" fontId="24" fillId="0" borderId="12" xfId="0" applyNumberFormat="1" applyFont="1" applyFill="1" applyBorder="1" applyAlignment="1">
      <alignment horizontal="center" vertical="center"/>
    </xf>
    <xf numFmtId="1" fontId="24" fillId="0" borderId="10" xfId="0" applyNumberFormat="1" applyFont="1" applyFill="1" applyBorder="1" applyAlignment="1">
      <alignment horizontal="center" vertical="center"/>
    </xf>
    <xf numFmtId="1" fontId="24" fillId="0" borderId="7" xfId="0" applyNumberFormat="1" applyFont="1" applyFill="1" applyBorder="1" applyAlignment="1">
      <alignment vertical="center"/>
    </xf>
    <xf numFmtId="1" fontId="24" fillId="0" borderId="1" xfId="0" applyNumberFormat="1" applyFont="1" applyFill="1" applyBorder="1" applyAlignment="1">
      <alignment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5" fillId="0" borderId="6" xfId="0" applyNumberFormat="1" applyFont="1" applyFill="1" applyBorder="1" applyAlignment="1">
      <alignment horizontal="center" vertical="center"/>
    </xf>
    <xf numFmtId="0" fontId="25" fillId="0" borderId="8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1" fontId="24" fillId="0" borderId="6" xfId="0" applyNumberFormat="1" applyFont="1" applyFill="1" applyBorder="1" applyAlignment="1">
      <alignment horizontal="center" vertical="center"/>
    </xf>
    <xf numFmtId="1" fontId="24" fillId="0" borderId="8" xfId="0" applyNumberFormat="1" applyFont="1" applyFill="1" applyBorder="1" applyAlignment="1">
      <alignment horizontal="center" vertical="center"/>
    </xf>
    <xf numFmtId="1" fontId="24" fillId="0" borderId="7" xfId="0" applyNumberFormat="1" applyFont="1" applyFill="1" applyBorder="1" applyAlignment="1">
      <alignment horizontal="center" vertical="center"/>
    </xf>
    <xf numFmtId="49" fontId="23" fillId="0" borderId="6" xfId="0" applyNumberFormat="1" applyFont="1" applyFill="1" applyBorder="1" applyAlignment="1">
      <alignment horizontal="center" vertical="center"/>
    </xf>
    <xf numFmtId="49" fontId="23" fillId="0" borderId="8" xfId="0" applyNumberFormat="1" applyFont="1" applyFill="1" applyBorder="1" applyAlignment="1">
      <alignment horizontal="center" vertical="center"/>
    </xf>
    <xf numFmtId="49" fontId="23" fillId="0" borderId="7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12" fillId="0" borderId="13" xfId="0" quotePrefix="1" applyNumberFormat="1" applyFont="1" applyFill="1" applyBorder="1" applyAlignment="1">
      <alignment horizontal="center" vertical="center"/>
    </xf>
    <xf numFmtId="49" fontId="12" fillId="0" borderId="11" xfId="0" quotePrefix="1" applyNumberFormat="1" applyFont="1" applyFill="1" applyBorder="1" applyAlignment="1">
      <alignment horizontal="center" vertical="center"/>
    </xf>
    <xf numFmtId="49" fontId="12" fillId="0" borderId="14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13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1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6" xfId="0" quotePrefix="1" applyFont="1" applyFill="1" applyBorder="1" applyAlignment="1">
      <alignment horizontal="center" vertical="center" wrapText="1"/>
    </xf>
    <xf numFmtId="0" fontId="24" fillId="0" borderId="7" xfId="0" quotePrefix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6" borderId="1" xfId="0" quotePrefix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7" fillId="0" borderId="1" xfId="0" applyFont="1" applyBorder="1"/>
    <xf numFmtId="49" fontId="24" fillId="4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5" fillId="4" borderId="1" xfId="0" quotePrefix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7" fillId="4" borderId="1" xfId="0" applyFont="1" applyFill="1" applyBorder="1"/>
    <xf numFmtId="49" fontId="23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4" fillId="4" borderId="1" xfId="0" quotePrefix="1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 wrapText="1"/>
    </xf>
    <xf numFmtId="1" fontId="26" fillId="4" borderId="1" xfId="0" applyNumberFormat="1" applyFont="1" applyFill="1" applyBorder="1" applyAlignment="1">
      <alignment horizontal="center" vertical="center"/>
    </xf>
    <xf numFmtId="49" fontId="10" fillId="4" borderId="1" xfId="0" quotePrefix="1" applyNumberFormat="1" applyFont="1" applyFill="1" applyBorder="1" applyAlignment="1">
      <alignment horizontal="center" vertical="center" wrapText="1"/>
    </xf>
    <xf numFmtId="49" fontId="24" fillId="4" borderId="6" xfId="0" quotePrefix="1" applyNumberFormat="1" applyFont="1" applyFill="1" applyBorder="1" applyAlignment="1">
      <alignment horizontal="center" vertical="center" wrapText="1"/>
    </xf>
    <xf numFmtId="49" fontId="24" fillId="4" borderId="8" xfId="0" quotePrefix="1" applyNumberFormat="1" applyFont="1" applyFill="1" applyBorder="1" applyAlignment="1">
      <alignment horizontal="center" vertical="center" wrapText="1"/>
    </xf>
    <xf numFmtId="49" fontId="24" fillId="4" borderId="7" xfId="0" quotePrefix="1" applyNumberFormat="1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49" fontId="24" fillId="0" borderId="11" xfId="0" applyNumberFormat="1" applyFont="1" applyFill="1" applyBorder="1" applyAlignment="1">
      <alignment horizontal="center" vertical="center"/>
    </xf>
    <xf numFmtId="49" fontId="24" fillId="0" borderId="7" xfId="0" applyNumberFormat="1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5" fillId="4" borderId="11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49" fontId="10" fillId="4" borderId="1" xfId="0" quotePrefix="1" applyNumberFormat="1" applyFont="1" applyFill="1" applyBorder="1" applyAlignment="1">
      <alignment horizontal="center" vertical="center" wrapText="1"/>
    </xf>
    <xf numFmtId="49" fontId="10" fillId="4" borderId="11" xfId="0" quotePrefix="1" applyNumberFormat="1" applyFont="1" applyFill="1" applyBorder="1" applyAlignment="1">
      <alignment horizontal="center" vertical="center" wrapText="1"/>
    </xf>
    <xf numFmtId="49" fontId="24" fillId="4" borderId="11" xfId="0" applyNumberFormat="1" applyFont="1" applyFill="1" applyBorder="1" applyAlignment="1">
      <alignment horizontal="center" vertical="center"/>
    </xf>
    <xf numFmtId="49" fontId="10" fillId="4" borderId="8" xfId="0" quotePrefix="1" applyNumberFormat="1" applyFont="1" applyFill="1" applyBorder="1" applyAlignment="1">
      <alignment horizontal="center" vertical="center" wrapText="1"/>
    </xf>
    <xf numFmtId="49" fontId="24" fillId="4" borderId="7" xfId="0" applyNumberFormat="1" applyFont="1" applyFill="1" applyBorder="1" applyAlignment="1">
      <alignment horizontal="center" vertical="center"/>
    </xf>
    <xf numFmtId="49" fontId="10" fillId="4" borderId="7" xfId="0" quotePrefix="1" applyNumberFormat="1" applyFont="1" applyFill="1" applyBorder="1" applyAlignment="1">
      <alignment horizontal="center" vertical="center" wrapText="1"/>
    </xf>
    <xf numFmtId="49" fontId="24" fillId="4" borderId="11" xfId="0" quotePrefix="1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4" fillId="4" borderId="1" xfId="0" quotePrefix="1" applyFont="1" applyFill="1" applyBorder="1" applyAlignment="1">
      <alignment horizontal="center" vertical="center"/>
    </xf>
    <xf numFmtId="0" fontId="24" fillId="4" borderId="1" xfId="0" quotePrefix="1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/>
    </xf>
    <xf numFmtId="1" fontId="24" fillId="0" borderId="6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1" fontId="24" fillId="0" borderId="13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" fontId="24" fillId="0" borderId="7" xfId="0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49" fontId="24" fillId="0" borderId="6" xfId="0" applyNumberFormat="1" applyFont="1" applyFill="1" applyBorder="1" applyAlignment="1">
      <alignment horizontal="center" vertical="center"/>
    </xf>
    <xf numFmtId="49" fontId="24" fillId="0" borderId="12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center"/>
    </xf>
    <xf numFmtId="49" fontId="24" fillId="0" borderId="8" xfId="0" applyNumberFormat="1" applyFont="1" applyFill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4" fillId="4" borderId="6" xfId="0" quotePrefix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23" fillId="4" borderId="1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7" fillId="0" borderId="11" xfId="0" applyFont="1" applyBorder="1"/>
    <xf numFmtId="0" fontId="25" fillId="0" borderId="13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7" fillId="0" borderId="13" xfId="0" applyFont="1" applyBorder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7" fillId="0" borderId="14" xfId="0" applyFont="1" applyBorder="1"/>
    <xf numFmtId="0" fontId="25" fillId="6" borderId="7" xfId="0" quotePrefix="1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7" fillId="0" borderId="7" xfId="0" applyFont="1" applyBorder="1"/>
    <xf numFmtId="49" fontId="24" fillId="0" borderId="13" xfId="0" quotePrefix="1" applyNumberFormat="1" applyFont="1" applyFill="1" applyBorder="1" applyAlignment="1">
      <alignment horizontal="center" vertical="center" wrapText="1"/>
    </xf>
    <xf numFmtId="49" fontId="25" fillId="0" borderId="14" xfId="0" quotePrefix="1" applyNumberFormat="1" applyFont="1" applyFill="1" applyBorder="1" applyAlignment="1">
      <alignment horizontal="center" vertical="center"/>
    </xf>
    <xf numFmtId="49" fontId="24" fillId="0" borderId="14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49" fontId="24" fillId="0" borderId="6" xfId="0" applyNumberFormat="1" applyFont="1" applyFill="1" applyBorder="1" applyAlignment="1">
      <alignment horizontal="center" vertical="center" wrapText="1"/>
    </xf>
    <xf numFmtId="49" fontId="25" fillId="0" borderId="8" xfId="0" applyNumberFormat="1" applyFont="1" applyFill="1" applyBorder="1" applyAlignment="1">
      <alignment horizontal="center" vertical="center"/>
    </xf>
    <xf numFmtId="49" fontId="24" fillId="0" borderId="8" xfId="0" applyNumberFormat="1" applyFont="1" applyFill="1" applyBorder="1" applyAlignment="1">
      <alignment horizontal="center" vertical="center" wrapText="1"/>
    </xf>
    <xf numFmtId="49" fontId="25" fillId="0" borderId="7" xfId="0" applyNumberFormat="1" applyFont="1" applyFill="1" applyBorder="1" applyAlignment="1">
      <alignment horizontal="center" vertical="center"/>
    </xf>
    <xf numFmtId="49" fontId="24" fillId="0" borderId="7" xfId="0" applyNumberFormat="1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0" fontId="10" fillId="4" borderId="11" xfId="0" quotePrefix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5" fillId="4" borderId="13" xfId="0" quotePrefix="1" applyFont="1" applyFill="1" applyBorder="1" applyAlignment="1">
      <alignment horizontal="center" vertical="center"/>
    </xf>
    <xf numFmtId="0" fontId="25" fillId="4" borderId="11" xfId="0" quotePrefix="1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25" fillId="4" borderId="14" xfId="0" quotePrefix="1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5" fillId="4" borderId="7" xfId="0" quotePrefix="1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1" fontId="25" fillId="0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vertical="center"/>
    </xf>
    <xf numFmtId="49" fontId="27" fillId="0" borderId="1" xfId="0" applyNumberFormat="1" applyFont="1" applyBorder="1" applyAlignment="1">
      <alignment horizontal="center" vertical="center"/>
    </xf>
    <xf numFmtId="49" fontId="26" fillId="0" borderId="6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horizontal="center" vertical="center"/>
    </xf>
    <xf numFmtId="49" fontId="26" fillId="0" borderId="7" xfId="0" applyNumberFormat="1" applyFont="1" applyBorder="1" applyAlignment="1">
      <alignment horizontal="center" vertical="center"/>
    </xf>
    <xf numFmtId="49" fontId="23" fillId="0" borderId="6" xfId="0" quotePrefix="1" applyNumberFormat="1" applyFont="1" applyBorder="1" applyAlignment="1">
      <alignment horizontal="center" vertical="center"/>
    </xf>
    <xf numFmtId="49" fontId="23" fillId="0" borderId="8" xfId="0" quotePrefix="1" applyNumberFormat="1" applyFont="1" applyBorder="1" applyAlignment="1">
      <alignment horizontal="center" vertical="center"/>
    </xf>
    <xf numFmtId="49" fontId="23" fillId="0" borderId="7" xfId="0" quotePrefix="1" applyNumberFormat="1" applyFont="1" applyBorder="1" applyAlignment="1">
      <alignment horizontal="center" vertical="center"/>
    </xf>
    <xf numFmtId="49" fontId="23" fillId="0" borderId="6" xfId="0" quotePrefix="1" applyNumberFormat="1" applyFont="1" applyBorder="1" applyAlignment="1">
      <alignment horizontal="center" vertical="center" wrapText="1"/>
    </xf>
    <xf numFmtId="49" fontId="23" fillId="0" borderId="8" xfId="0" quotePrefix="1" applyNumberFormat="1" applyFont="1" applyBorder="1" applyAlignment="1">
      <alignment horizontal="center" vertical="center" wrapText="1"/>
    </xf>
    <xf numFmtId="49" fontId="23" fillId="0" borderId="7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72532"/>
          <a:ext cx="7942985" cy="846070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19049</xdr:colOff>
      <xdr:row>48</xdr:row>
      <xdr:rowOff>130449</xdr:rowOff>
    </xdr:from>
    <xdr:to>
      <xdr:col>13</xdr:col>
      <xdr:colOff>358599</xdr:colOff>
      <xdr:row>53</xdr:row>
      <xdr:rowOff>38100</xdr:rowOff>
    </xdr:to>
    <xdr:grpSp>
      <xdr:nvGrpSpPr>
        <xdr:cNvPr id="21" name="Group 20"/>
        <xdr:cNvGrpSpPr/>
      </xdr:nvGrpSpPr>
      <xdr:grpSpPr>
        <a:xfrm>
          <a:off x="19049" y="9597471"/>
          <a:ext cx="7942985" cy="818738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A.Jokar          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47624</xdr:colOff>
      <xdr:row>95</xdr:row>
      <xdr:rowOff>16149</xdr:rowOff>
    </xdr:from>
    <xdr:to>
      <xdr:col>13</xdr:col>
      <xdr:colOff>387174</xdr:colOff>
      <xdr:row>98</xdr:row>
      <xdr:rowOff>161925</xdr:rowOff>
    </xdr:to>
    <xdr:grpSp>
      <xdr:nvGrpSpPr>
        <xdr:cNvPr id="40" name="Group 39"/>
        <xdr:cNvGrpSpPr/>
      </xdr:nvGrpSpPr>
      <xdr:grpSpPr>
        <a:xfrm>
          <a:off x="47624" y="18022540"/>
          <a:ext cx="7942985" cy="692428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A.Jokar                                           A.Jokar                                       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57150</xdr:colOff>
      <xdr:row>123</xdr:row>
      <xdr:rowOff>180974</xdr:rowOff>
    </xdr:from>
    <xdr:to>
      <xdr:col>14</xdr:col>
      <xdr:colOff>98526</xdr:colOff>
      <xdr:row>128</xdr:row>
      <xdr:rowOff>59120</xdr:rowOff>
    </xdr:to>
    <xdr:grpSp>
      <xdr:nvGrpSpPr>
        <xdr:cNvPr id="69" name="Group 68"/>
        <xdr:cNvGrpSpPr/>
      </xdr:nvGrpSpPr>
      <xdr:grpSpPr>
        <a:xfrm>
          <a:off x="57150" y="23943778"/>
          <a:ext cx="8092072" cy="789233"/>
          <a:chOff x="57150" y="24101533"/>
          <a:chExt cx="7525998" cy="821121"/>
        </a:xfrm>
      </xdr:grpSpPr>
      <xdr:grpSp>
        <xdr:nvGrpSpPr>
          <xdr:cNvPr id="70" name="Group 69"/>
          <xdr:cNvGrpSpPr/>
        </xdr:nvGrpSpPr>
        <xdr:grpSpPr>
          <a:xfrm>
            <a:off x="57150" y="24101533"/>
            <a:ext cx="7525998" cy="821121"/>
            <a:chOff x="19049" y="4911999"/>
            <a:chExt cx="7026100" cy="830330"/>
          </a:xfrm>
        </xdr:grpSpPr>
        <xdr:sp macro="" textlink="">
          <xdr:nvSpPr>
            <xdr:cNvPr id="76" name="Rounded Rectangle 75"/>
            <xdr:cNvSpPr>
              <a:spLocks noChangeAspect="1"/>
            </xdr:cNvSpPr>
          </xdr:nvSpPr>
          <xdr:spPr>
            <a:xfrm>
              <a:off x="19049" y="4921523"/>
              <a:ext cx="4287907" cy="820806"/>
            </a:xfrm>
            <a:prstGeom prst="roundRect">
              <a:avLst/>
            </a:prstGeom>
            <a:solidFill>
              <a:sysClr val="window" lastClr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Prepared By :                            </a:t>
              </a:r>
              <a:r>
                <a:rPr lang="en-US" sz="800" b="1" baseline="0">
                  <a:solidFill>
                    <a:schemeClr val="tx1"/>
                  </a:solidFill>
                </a:rPr>
                <a:t> </a:t>
              </a: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Checked By :                               Approved By : </a:t>
              </a:r>
              <a:endParaRPr lang="en-US" sz="800" b="1" baseline="0">
                <a:solidFill>
                  <a:schemeClr val="tx1"/>
                </a:solidFill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8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A.Jokar                                           A.Jokar                                       M.Rezaeifard                          </a:t>
              </a: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7" name="Rounded Rectangle 76"/>
            <xdr:cNvSpPr>
              <a:spLocks noChangeAspect="1"/>
            </xdr:cNvSpPr>
          </xdr:nvSpPr>
          <xdr:spPr>
            <a:xfrm>
              <a:off x="4371979" y="4921523"/>
              <a:ext cx="1515717" cy="820806"/>
            </a:xfrm>
            <a:prstGeom prst="roundRect">
              <a:avLst/>
            </a:prstGeom>
            <a:solidFill>
              <a:sysClr val="window" lastClr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Management :                       </a:t>
              </a: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Date:</a:t>
              </a:r>
              <a:endParaRPr lang="en-US" sz="800" b="1" baseline="0">
                <a:solidFill>
                  <a:schemeClr val="tx1"/>
                </a:solidFill>
              </a:endParaRPr>
            </a:p>
            <a:p>
              <a:pPr algn="l"/>
              <a:endParaRPr lang="en-US" sz="800" b="1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8" name="Rounded Rectangle 77"/>
            <xdr:cNvSpPr>
              <a:spLocks noChangeAspect="1"/>
            </xdr:cNvSpPr>
          </xdr:nvSpPr>
          <xdr:spPr>
            <a:xfrm>
              <a:off x="5932837" y="4911999"/>
              <a:ext cx="1112312" cy="822047"/>
            </a:xfrm>
            <a:prstGeom prst="roundRect">
              <a:avLst/>
            </a:prstGeom>
            <a:solidFill>
              <a:sysClr val="window" lastClr="FFFFFF"/>
            </a:solidFill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1" anchor="t"/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Sales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Q.C.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Warehouse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 Planning  Dep't</a:t>
              </a: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800" b="1" baseline="0">
                  <a:solidFill>
                    <a:schemeClr val="tx1"/>
                  </a:solidFill>
                </a:rPr>
                <a:t>       Production</a:t>
              </a:r>
              <a:endParaRPr lang="en-US" sz="800">
                <a:effectLst/>
              </a:endParaRPr>
            </a:p>
          </xdr:txBody>
        </xdr:sp>
        <xdr:sp macro="" textlink="">
          <xdr:nvSpPr>
            <xdr:cNvPr id="79" name="Flowchart: Connector 78"/>
            <xdr:cNvSpPr/>
          </xdr:nvSpPr>
          <xdr:spPr>
            <a:xfrm>
              <a:off x="6060269" y="5018279"/>
              <a:ext cx="91848" cy="107355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1" name="Group 70"/>
          <xdr:cNvGrpSpPr/>
        </xdr:nvGrpSpPr>
        <xdr:grpSpPr>
          <a:xfrm>
            <a:off x="6520355" y="24324879"/>
            <a:ext cx="110116" cy="463228"/>
            <a:chOff x="6520355" y="24324879"/>
            <a:chExt cx="110116" cy="463228"/>
          </a:xfrm>
        </xdr:grpSpPr>
        <xdr:sp macro="" textlink="">
          <xdr:nvSpPr>
            <xdr:cNvPr id="72" name="Flowchart: Connector 71"/>
            <xdr:cNvSpPr/>
          </xdr:nvSpPr>
          <xdr:spPr>
            <a:xfrm>
              <a:off x="6522982" y="24324879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3" name="Flowchart: Connector 72"/>
            <xdr:cNvSpPr/>
          </xdr:nvSpPr>
          <xdr:spPr>
            <a:xfrm>
              <a:off x="6524297" y="24444434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Flowchart: Connector 73"/>
            <xdr:cNvSpPr/>
          </xdr:nvSpPr>
          <xdr:spPr>
            <a:xfrm>
              <a:off x="6532179" y="24695369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5" name="Flowchart: Connector 74"/>
            <xdr:cNvSpPr/>
          </xdr:nvSpPr>
          <xdr:spPr>
            <a:xfrm>
              <a:off x="6520355" y="24558734"/>
              <a:ext cx="98292" cy="92738"/>
            </a:xfrm>
            <a:prstGeom prst="flowChartConnector">
              <a:avLst/>
            </a:prstGeom>
            <a:ln w="9525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 editAs="oneCell">
    <xdr:from>
      <xdr:col>0</xdr:col>
      <xdr:colOff>16566</xdr:colOff>
      <xdr:row>0</xdr:row>
      <xdr:rowOff>33130</xdr:rowOff>
    </xdr:from>
    <xdr:to>
      <xdr:col>16</xdr:col>
      <xdr:colOff>125596</xdr:colOff>
      <xdr:row>4</xdr:row>
      <xdr:rowOff>13008</xdr:rowOff>
    </xdr:to>
    <xdr:grpSp>
      <xdr:nvGrpSpPr>
        <xdr:cNvPr id="80" name="Group 79"/>
        <xdr:cNvGrpSpPr/>
      </xdr:nvGrpSpPr>
      <xdr:grpSpPr>
        <a:xfrm>
          <a:off x="16566" y="33130"/>
          <a:ext cx="8996269" cy="675617"/>
          <a:chOff x="0" y="8279"/>
          <a:chExt cx="8302625" cy="703632"/>
        </a:xfrm>
      </xdr:grpSpPr>
      <xdr:sp macro="" textlink="">
        <xdr:nvSpPr>
          <xdr:cNvPr id="81" name="TextBox 8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82" name="TextBox 81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Dust Collector</a:t>
            </a:r>
          </a:p>
        </xdr:txBody>
      </xdr:sp>
      <xdr:sp macro="" textlink="">
        <xdr:nvSpPr>
          <xdr:cNvPr id="83" name="TextBox 8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4" name="TextBox 8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85" name="TextBox 8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6" name="TextBox 8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10144-Dust</a:t>
            </a:r>
            <a:r>
              <a:rPr lang="en-US" sz="1100" baseline="0"/>
              <a:t> Collector-BOM-01</a:t>
            </a:r>
            <a:endParaRPr lang="en-US" sz="1100"/>
          </a:p>
        </xdr:txBody>
      </xdr:sp>
      <xdr:sp macro="" textlink="">
        <xdr:nvSpPr>
          <xdr:cNvPr id="87" name="TextBox 8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4</a:t>
            </a:r>
            <a:endParaRPr lang="en-US" sz="1050"/>
          </a:p>
        </xdr:txBody>
      </xdr:sp>
      <xdr:sp macro="" textlink="">
        <xdr:nvSpPr>
          <xdr:cNvPr id="88" name="TextBox 8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89" name="TextBox 8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90" name="Picture 8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24848</xdr:colOff>
      <xdr:row>33</xdr:row>
      <xdr:rowOff>16565</xdr:rowOff>
    </xdr:from>
    <xdr:to>
      <xdr:col>16</xdr:col>
      <xdr:colOff>133878</xdr:colOff>
      <xdr:row>36</xdr:row>
      <xdr:rowOff>145530</xdr:rowOff>
    </xdr:to>
    <xdr:grpSp>
      <xdr:nvGrpSpPr>
        <xdr:cNvPr id="91" name="Group 90"/>
        <xdr:cNvGrpSpPr/>
      </xdr:nvGrpSpPr>
      <xdr:grpSpPr>
        <a:xfrm>
          <a:off x="24848" y="6385891"/>
          <a:ext cx="8996269" cy="675617"/>
          <a:chOff x="0" y="8279"/>
          <a:chExt cx="8302625" cy="703632"/>
        </a:xfrm>
      </xdr:grpSpPr>
      <xdr:sp macro="" textlink="">
        <xdr:nvSpPr>
          <xdr:cNvPr id="92" name="TextBox 9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93" name="TextBox 92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Dust Collector</a:t>
            </a:r>
          </a:p>
        </xdr:txBody>
      </xdr:sp>
      <xdr:sp macro="" textlink="">
        <xdr:nvSpPr>
          <xdr:cNvPr id="94" name="TextBox 9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95" name="TextBox 9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96" name="TextBox 9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10144-Dust</a:t>
            </a:r>
            <a:r>
              <a:rPr lang="en-US" sz="1100" baseline="0"/>
              <a:t> Collector-BOM-01</a:t>
            </a:r>
            <a:endParaRPr lang="en-US" sz="1100"/>
          </a:p>
        </xdr:txBody>
      </xdr:sp>
      <xdr:sp macro="" textlink="">
        <xdr:nvSpPr>
          <xdr:cNvPr id="98" name="TextBox 9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4</a:t>
            </a:r>
            <a:endParaRPr lang="en-US" sz="1050"/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0" name="TextBox 9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01" name="Picture 10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24847</xdr:colOff>
      <xdr:row>66</xdr:row>
      <xdr:rowOff>49695</xdr:rowOff>
    </xdr:from>
    <xdr:to>
      <xdr:col>16</xdr:col>
      <xdr:colOff>133877</xdr:colOff>
      <xdr:row>69</xdr:row>
      <xdr:rowOff>178660</xdr:rowOff>
    </xdr:to>
    <xdr:grpSp>
      <xdr:nvGrpSpPr>
        <xdr:cNvPr id="102" name="Group 101"/>
        <xdr:cNvGrpSpPr/>
      </xdr:nvGrpSpPr>
      <xdr:grpSpPr>
        <a:xfrm>
          <a:off x="24847" y="12796630"/>
          <a:ext cx="8996269" cy="675617"/>
          <a:chOff x="0" y="8279"/>
          <a:chExt cx="8302625" cy="703632"/>
        </a:xfrm>
      </xdr:grpSpPr>
      <xdr:sp macro="" textlink="">
        <xdr:nvSpPr>
          <xdr:cNvPr id="103" name="TextBox 10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104" name="TextBox 103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Dust Collector</a:t>
            </a:r>
          </a:p>
        </xdr:txBody>
      </xdr:sp>
      <xdr:sp macro="" textlink="">
        <xdr:nvSpPr>
          <xdr:cNvPr id="105" name="TextBox 10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06" name="TextBox 10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07" name="TextBox 10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10144-Dust</a:t>
            </a:r>
            <a:r>
              <a:rPr lang="en-US" sz="1100" baseline="0"/>
              <a:t> Collector-BOM-01</a:t>
            </a:r>
            <a:endParaRPr lang="en-US" sz="1100"/>
          </a:p>
        </xdr:txBody>
      </xdr:sp>
      <xdr:sp macro="" textlink="">
        <xdr:nvSpPr>
          <xdr:cNvPr id="109" name="TextBox 10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4</a:t>
            </a:r>
            <a:endParaRPr lang="en-US" sz="1050"/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1" name="TextBox 1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12" name="Picture 1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16565</xdr:colOff>
      <xdr:row>101</xdr:row>
      <xdr:rowOff>24848</xdr:rowOff>
    </xdr:from>
    <xdr:to>
      <xdr:col>16</xdr:col>
      <xdr:colOff>125595</xdr:colOff>
      <xdr:row>104</xdr:row>
      <xdr:rowOff>153813</xdr:rowOff>
    </xdr:to>
    <xdr:grpSp>
      <xdr:nvGrpSpPr>
        <xdr:cNvPr id="113" name="Group 112"/>
        <xdr:cNvGrpSpPr/>
      </xdr:nvGrpSpPr>
      <xdr:grpSpPr>
        <a:xfrm>
          <a:off x="16565" y="19124544"/>
          <a:ext cx="8996269" cy="675617"/>
          <a:chOff x="0" y="8279"/>
          <a:chExt cx="8302625" cy="703632"/>
        </a:xfrm>
      </xdr:grpSpPr>
      <xdr:sp macro="" textlink="">
        <xdr:nvSpPr>
          <xdr:cNvPr id="114" name="TextBox 11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Dust Collector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10144-Dust</a:t>
            </a:r>
            <a:r>
              <a:rPr lang="en-US" sz="1100" baseline="0"/>
              <a:t> Collector-BOM-01</a:t>
            </a:r>
            <a:endParaRPr lang="en-US" sz="1100"/>
          </a:p>
        </xdr:txBody>
      </xdr:sp>
      <xdr:sp macro="" textlink="">
        <xdr:nvSpPr>
          <xdr:cNvPr id="120" name="TextBox 11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4</a:t>
            </a:r>
            <a:endParaRPr lang="en-US" sz="1050"/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22" name="TextBox 12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23" name="Picture 12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17</xdr:row>
      <xdr:rowOff>93002</xdr:rowOff>
    </xdr:from>
    <xdr:to>
      <xdr:col>14</xdr:col>
      <xdr:colOff>255788</xdr:colOff>
      <xdr:row>22</xdr:row>
      <xdr:rowOff>13138</xdr:rowOff>
    </xdr:to>
    <xdr:grpSp>
      <xdr:nvGrpSpPr>
        <xdr:cNvPr id="2" name="Group 1"/>
        <xdr:cNvGrpSpPr/>
      </xdr:nvGrpSpPr>
      <xdr:grpSpPr>
        <a:xfrm>
          <a:off x="30538" y="3462881"/>
          <a:ext cx="7582491" cy="83979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81326" cy="683925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Coil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 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10144-Coil-BOM-01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52950</xdr:colOff>
      <xdr:row>19</xdr:row>
      <xdr:rowOff>36973</xdr:rowOff>
    </xdr:from>
    <xdr:to>
      <xdr:col>14</xdr:col>
      <xdr:colOff>278200</xdr:colOff>
      <xdr:row>23</xdr:row>
      <xdr:rowOff>97022</xdr:rowOff>
    </xdr:to>
    <xdr:grpSp>
      <xdr:nvGrpSpPr>
        <xdr:cNvPr id="2" name="Group 1"/>
        <xdr:cNvGrpSpPr/>
      </xdr:nvGrpSpPr>
      <xdr:grpSpPr>
        <a:xfrm>
          <a:off x="52950" y="3747582"/>
          <a:ext cx="7571924" cy="78891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Product:Static</a:t>
            </a:r>
            <a:r>
              <a:rPr lang="en-US" sz="800" baseline="0"/>
              <a:t> Water Filter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10144-Static</a:t>
            </a:r>
            <a:r>
              <a:rPr lang="en-US" sz="800" baseline="0"/>
              <a:t> Water Filter-BOM-01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97.11.23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25</xdr:row>
      <xdr:rowOff>64188</xdr:rowOff>
    </xdr:from>
    <xdr:to>
      <xdr:col>14</xdr:col>
      <xdr:colOff>264592</xdr:colOff>
      <xdr:row>29</xdr:row>
      <xdr:rowOff>124236</xdr:rowOff>
    </xdr:to>
    <xdr:grpSp>
      <xdr:nvGrpSpPr>
        <xdr:cNvPr id="2" name="Group 1"/>
        <xdr:cNvGrpSpPr/>
      </xdr:nvGrpSpPr>
      <xdr:grpSpPr>
        <a:xfrm>
          <a:off x="39342" y="4899957"/>
          <a:ext cx="7566827" cy="79274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9704" cy="681651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Product:Ventilation Door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No.:10144-Ventilation</a:t>
            </a:r>
            <a:r>
              <a:rPr lang="en-US" sz="800" baseline="0"/>
              <a:t> Door-BOM-01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39342</xdr:colOff>
      <xdr:row>27</xdr:row>
      <xdr:rowOff>64188</xdr:rowOff>
    </xdr:from>
    <xdr:to>
      <xdr:col>14</xdr:col>
      <xdr:colOff>264592</xdr:colOff>
      <xdr:row>31</xdr:row>
      <xdr:rowOff>124236</xdr:rowOff>
    </xdr:to>
    <xdr:grpSp>
      <xdr:nvGrpSpPr>
        <xdr:cNvPr id="2" name="Group 1"/>
        <xdr:cNvGrpSpPr/>
      </xdr:nvGrpSpPr>
      <xdr:grpSpPr>
        <a:xfrm>
          <a:off x="39342" y="5232536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Product:Ventilation Door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No.:10144-Ventilation</a:t>
            </a:r>
            <a:r>
              <a:rPr lang="en-US" sz="800" baseline="0"/>
              <a:t> Door-BOM-01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26</xdr:row>
      <xdr:rowOff>64188</xdr:rowOff>
    </xdr:from>
    <xdr:to>
      <xdr:col>14</xdr:col>
      <xdr:colOff>272874</xdr:colOff>
      <xdr:row>30</xdr:row>
      <xdr:rowOff>124235</xdr:rowOff>
    </xdr:to>
    <xdr:grpSp>
      <xdr:nvGrpSpPr>
        <xdr:cNvPr id="2" name="Group 1"/>
        <xdr:cNvGrpSpPr/>
      </xdr:nvGrpSpPr>
      <xdr:grpSpPr>
        <a:xfrm>
          <a:off x="47624" y="5157992"/>
          <a:ext cx="7571924" cy="788917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Nozzle</a:t>
            </a:r>
            <a:r>
              <a:rPr lang="en-US" sz="800" baseline="0"/>
              <a:t> Bank</a:t>
            </a:r>
            <a:endParaRPr lang="en-US" sz="8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10144-Nozzle</a:t>
            </a:r>
            <a:r>
              <a:rPr lang="en-US" sz="800" baseline="0"/>
              <a:t> Bank-BOM-01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51288</xdr:colOff>
      <xdr:row>27</xdr:row>
      <xdr:rowOff>44919</xdr:rowOff>
    </xdr:from>
    <xdr:to>
      <xdr:col>14</xdr:col>
      <xdr:colOff>180800</xdr:colOff>
      <xdr:row>31</xdr:row>
      <xdr:rowOff>161192</xdr:rowOff>
    </xdr:to>
    <xdr:grpSp>
      <xdr:nvGrpSpPr>
        <xdr:cNvPr id="2" name="Group 1"/>
        <xdr:cNvGrpSpPr/>
      </xdr:nvGrpSpPr>
      <xdr:grpSpPr>
        <a:xfrm>
          <a:off x="51288" y="5241997"/>
          <a:ext cx="7570918" cy="83064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762206" cy="667913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Eliminator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-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10144-Eliminator-BOM-01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2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3361</xdr:colOff>
      <xdr:row>48</xdr:row>
      <xdr:rowOff>72966</xdr:rowOff>
    </xdr:from>
    <xdr:to>
      <xdr:col>14</xdr:col>
      <xdr:colOff>132873</xdr:colOff>
      <xdr:row>53</xdr:row>
      <xdr:rowOff>2102</xdr:rowOff>
    </xdr:to>
    <xdr:grpSp>
      <xdr:nvGrpSpPr>
        <xdr:cNvPr id="33" name="Group 32"/>
        <xdr:cNvGrpSpPr/>
      </xdr:nvGrpSpPr>
      <xdr:grpSpPr>
        <a:xfrm>
          <a:off x="3361" y="9484857"/>
          <a:ext cx="7570918" cy="822104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8283</xdr:colOff>
      <xdr:row>33</xdr:row>
      <xdr:rowOff>16565</xdr:rowOff>
    </xdr:from>
    <xdr:to>
      <xdr:col>17</xdr:col>
      <xdr:colOff>90833</xdr:colOff>
      <xdr:row>36</xdr:row>
      <xdr:rowOff>148697</xdr:rowOff>
    </xdr:to>
    <xdr:grpSp>
      <xdr:nvGrpSpPr>
        <xdr:cNvPr id="51" name="Group 50"/>
        <xdr:cNvGrpSpPr/>
      </xdr:nvGrpSpPr>
      <xdr:grpSpPr>
        <a:xfrm>
          <a:off x="8283" y="6285206"/>
          <a:ext cx="8762206" cy="667913"/>
          <a:chOff x="0" y="8279"/>
          <a:chExt cx="8321675" cy="703632"/>
        </a:xfrm>
      </xdr:grpSpPr>
      <xdr:sp macro="" textlink="">
        <xdr:nvSpPr>
          <xdr:cNvPr id="52" name="TextBox 5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No.:10144 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Eliminator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10144-Eliminator-BOM-01</a:t>
            </a:r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2</a:t>
            </a:r>
            <a:endParaRPr lang="en-US" sz="800"/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60" name="TextBox 5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61" name="Picture 6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21</xdr:row>
      <xdr:rowOff>130449</xdr:rowOff>
    </xdr:from>
    <xdr:to>
      <xdr:col>14</xdr:col>
      <xdr:colOff>272874</xdr:colOff>
      <xdr:row>26</xdr:row>
      <xdr:rowOff>8279</xdr:rowOff>
    </xdr:to>
    <xdr:grpSp>
      <xdr:nvGrpSpPr>
        <xdr:cNvPr id="2" name="Group 1"/>
        <xdr:cNvGrpSpPr/>
      </xdr:nvGrpSpPr>
      <xdr:grpSpPr>
        <a:xfrm>
          <a:off x="47624" y="4341156"/>
          <a:ext cx="7582491" cy="797485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5" name="Group 14"/>
        <xdr:cNvGrpSpPr/>
      </xdr:nvGrpSpPr>
      <xdr:grpSpPr>
        <a:xfrm>
          <a:off x="0" y="8279"/>
          <a:ext cx="8681326" cy="683925"/>
          <a:chOff x="0" y="8279"/>
          <a:chExt cx="832167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Product:Air Washer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Air Baffle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10144-Air</a:t>
            </a:r>
            <a:r>
              <a:rPr lang="en-US" sz="800" baseline="0"/>
              <a:t> Baffle-BOM-01</a:t>
            </a:r>
            <a:endParaRPr lang="en-US" sz="800"/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13</xdr:row>
      <xdr:rowOff>130449</xdr:rowOff>
    </xdr:from>
    <xdr:to>
      <xdr:col>13</xdr:col>
      <xdr:colOff>387174</xdr:colOff>
      <xdr:row>18</xdr:row>
      <xdr:rowOff>57150</xdr:rowOff>
    </xdr:to>
    <xdr:grpSp>
      <xdr:nvGrpSpPr>
        <xdr:cNvPr id="2" name="Group 1"/>
        <xdr:cNvGrpSpPr/>
      </xdr:nvGrpSpPr>
      <xdr:grpSpPr>
        <a:xfrm>
          <a:off x="47624" y="2873649"/>
          <a:ext cx="7873825" cy="831576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57149</xdr:colOff>
      <xdr:row>59</xdr:row>
      <xdr:rowOff>25675</xdr:rowOff>
    </xdr:from>
    <xdr:to>
      <xdr:col>13</xdr:col>
      <xdr:colOff>396699</xdr:colOff>
      <xdr:row>63</xdr:row>
      <xdr:rowOff>76201</xdr:rowOff>
    </xdr:to>
    <xdr:grpSp>
      <xdr:nvGrpSpPr>
        <xdr:cNvPr id="21" name="Group 20"/>
        <xdr:cNvGrpSpPr/>
      </xdr:nvGrpSpPr>
      <xdr:grpSpPr>
        <a:xfrm>
          <a:off x="57149" y="11360425"/>
          <a:ext cx="7873825" cy="850626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104774</xdr:colOff>
      <xdr:row>92</xdr:row>
      <xdr:rowOff>54249</xdr:rowOff>
    </xdr:from>
    <xdr:to>
      <xdr:col>14</xdr:col>
      <xdr:colOff>34749</xdr:colOff>
      <xdr:row>96</xdr:row>
      <xdr:rowOff>114300</xdr:rowOff>
    </xdr:to>
    <xdr:grpSp>
      <xdr:nvGrpSpPr>
        <xdr:cNvPr id="40" name="Group 39"/>
        <xdr:cNvGrpSpPr/>
      </xdr:nvGrpSpPr>
      <xdr:grpSpPr>
        <a:xfrm>
          <a:off x="104774" y="17608824"/>
          <a:ext cx="7911925" cy="7839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123</xdr:row>
      <xdr:rowOff>19050</xdr:rowOff>
    </xdr:from>
    <xdr:to>
      <xdr:col>13</xdr:col>
      <xdr:colOff>396700</xdr:colOff>
      <xdr:row>127</xdr:row>
      <xdr:rowOff>117201</xdr:rowOff>
    </xdr:to>
    <xdr:grpSp>
      <xdr:nvGrpSpPr>
        <xdr:cNvPr id="69" name="Group 68"/>
        <xdr:cNvGrpSpPr/>
      </xdr:nvGrpSpPr>
      <xdr:grpSpPr>
        <a:xfrm>
          <a:off x="57150" y="23955375"/>
          <a:ext cx="7873825" cy="8220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152</xdr:row>
      <xdr:rowOff>19050</xdr:rowOff>
    </xdr:from>
    <xdr:to>
      <xdr:col>13</xdr:col>
      <xdr:colOff>396700</xdr:colOff>
      <xdr:row>156</xdr:row>
      <xdr:rowOff>117201</xdr:rowOff>
    </xdr:to>
    <xdr:grpSp>
      <xdr:nvGrpSpPr>
        <xdr:cNvPr id="78" name="Group 77"/>
        <xdr:cNvGrpSpPr/>
      </xdr:nvGrpSpPr>
      <xdr:grpSpPr>
        <a:xfrm>
          <a:off x="57150" y="29927550"/>
          <a:ext cx="7873825" cy="8220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0</xdr:row>
      <xdr:rowOff>38100</xdr:rowOff>
    </xdr:from>
    <xdr:to>
      <xdr:col>16</xdr:col>
      <xdr:colOff>195169</xdr:colOff>
      <xdr:row>4</xdr:row>
      <xdr:rowOff>18392</xdr:rowOff>
    </xdr:to>
    <xdr:grpSp>
      <xdr:nvGrpSpPr>
        <xdr:cNvPr id="97" name="Group 96"/>
        <xdr:cNvGrpSpPr/>
      </xdr:nvGrpSpPr>
      <xdr:grpSpPr>
        <a:xfrm>
          <a:off x="19050" y="38100"/>
          <a:ext cx="8996269" cy="675617"/>
          <a:chOff x="0" y="8279"/>
          <a:chExt cx="8302625" cy="703632"/>
        </a:xfrm>
      </xdr:grpSpPr>
      <xdr:sp macro="" textlink="">
        <xdr:nvSpPr>
          <xdr:cNvPr id="98" name="TextBox 9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99" name="TextBox 98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Vacuum Cleaner</a:t>
            </a:r>
          </a:p>
        </xdr:txBody>
      </xdr:sp>
      <xdr:sp macro="" textlink="">
        <xdr:nvSpPr>
          <xdr:cNvPr id="100" name="TextBox 9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01" name="TextBox 10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10144-Vacuum</a:t>
            </a:r>
            <a:r>
              <a:rPr lang="en-US" sz="1100" baseline="0"/>
              <a:t> Cleaner-BOM-01</a:t>
            </a:r>
            <a:endParaRPr lang="en-US" sz="1100"/>
          </a:p>
        </xdr:txBody>
      </xdr:sp>
      <xdr:sp macro="" textlink="">
        <xdr:nvSpPr>
          <xdr:cNvPr id="104" name="TextBox 10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5</a:t>
            </a:r>
            <a:endParaRPr lang="en-US" sz="1050"/>
          </a:p>
        </xdr:txBody>
      </xdr:sp>
      <xdr:sp macro="" textlink="">
        <xdr:nvSpPr>
          <xdr:cNvPr id="105" name="TextBox 10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6" name="TextBox 10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07" name="Picture 10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22412</xdr:colOff>
      <xdr:row>33</xdr:row>
      <xdr:rowOff>11206</xdr:rowOff>
    </xdr:from>
    <xdr:to>
      <xdr:col>16</xdr:col>
      <xdr:colOff>198531</xdr:colOff>
      <xdr:row>36</xdr:row>
      <xdr:rowOff>148381</xdr:rowOff>
    </xdr:to>
    <xdr:grpSp>
      <xdr:nvGrpSpPr>
        <xdr:cNvPr id="108" name="Group 107"/>
        <xdr:cNvGrpSpPr/>
      </xdr:nvGrpSpPr>
      <xdr:grpSpPr>
        <a:xfrm>
          <a:off x="22412" y="6373906"/>
          <a:ext cx="8996269" cy="680100"/>
          <a:chOff x="0" y="8279"/>
          <a:chExt cx="8302625" cy="703632"/>
        </a:xfrm>
      </xdr:grpSpPr>
      <xdr:sp macro="" textlink="">
        <xdr:nvSpPr>
          <xdr:cNvPr id="109" name="TextBox 108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Vacuum Cleaner</a:t>
            </a:r>
          </a:p>
        </xdr:txBody>
      </xdr:sp>
      <xdr:sp macro="" textlink="">
        <xdr:nvSpPr>
          <xdr:cNvPr id="111" name="TextBox 110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14" name="TextBox 113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10144-Vacuum</a:t>
            </a:r>
            <a:r>
              <a:rPr lang="en-US" sz="1100" baseline="0"/>
              <a:t> Cleaner-BOM-01</a:t>
            </a:r>
            <a:endParaRPr lang="en-US" sz="1100"/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5</a:t>
            </a:r>
            <a:endParaRPr lang="en-US" sz="1050"/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7" name="TextBox 116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18" name="Picture 11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16566</xdr:colOff>
      <xdr:row>66</xdr:row>
      <xdr:rowOff>16565</xdr:rowOff>
    </xdr:from>
    <xdr:to>
      <xdr:col>16</xdr:col>
      <xdr:colOff>192685</xdr:colOff>
      <xdr:row>69</xdr:row>
      <xdr:rowOff>153740</xdr:rowOff>
    </xdr:to>
    <xdr:grpSp>
      <xdr:nvGrpSpPr>
        <xdr:cNvPr id="123" name="Group 122"/>
        <xdr:cNvGrpSpPr/>
      </xdr:nvGrpSpPr>
      <xdr:grpSpPr>
        <a:xfrm>
          <a:off x="16566" y="12694340"/>
          <a:ext cx="8996269" cy="680100"/>
          <a:chOff x="0" y="8279"/>
          <a:chExt cx="8302625" cy="703632"/>
        </a:xfrm>
      </xdr:grpSpPr>
      <xdr:sp macro="" textlink="">
        <xdr:nvSpPr>
          <xdr:cNvPr id="124" name="TextBox 12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125" name="TextBox 124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Vacuum Cleaner</a:t>
            </a:r>
          </a:p>
        </xdr:txBody>
      </xdr:sp>
      <xdr:sp macro="" textlink="">
        <xdr:nvSpPr>
          <xdr:cNvPr id="126" name="TextBox 12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27" name="TextBox 12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28" name="TextBox 12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10144-Vacuum</a:t>
            </a:r>
            <a:r>
              <a:rPr lang="en-US" sz="1100" baseline="0"/>
              <a:t> Cleaner-BOM-01</a:t>
            </a:r>
            <a:endParaRPr lang="en-US" sz="1100"/>
          </a:p>
        </xdr:txBody>
      </xdr:sp>
      <xdr:sp macro="" textlink="">
        <xdr:nvSpPr>
          <xdr:cNvPr id="130" name="TextBox 12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5</a:t>
            </a:r>
            <a:endParaRPr lang="en-US" sz="1050"/>
          </a:p>
        </xdr:txBody>
      </xdr:sp>
      <xdr:sp macro="" textlink="">
        <xdr:nvSpPr>
          <xdr:cNvPr id="131" name="TextBox 13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32" name="TextBox 13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33" name="Picture 1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100</xdr:row>
      <xdr:rowOff>24848</xdr:rowOff>
    </xdr:from>
    <xdr:to>
      <xdr:col>16</xdr:col>
      <xdr:colOff>176119</xdr:colOff>
      <xdr:row>103</xdr:row>
      <xdr:rowOff>162023</xdr:rowOff>
    </xdr:to>
    <xdr:grpSp>
      <xdr:nvGrpSpPr>
        <xdr:cNvPr id="134" name="Group 133"/>
        <xdr:cNvGrpSpPr/>
      </xdr:nvGrpSpPr>
      <xdr:grpSpPr>
        <a:xfrm>
          <a:off x="0" y="19027223"/>
          <a:ext cx="8996269" cy="680100"/>
          <a:chOff x="0" y="8279"/>
          <a:chExt cx="8302625" cy="703632"/>
        </a:xfrm>
      </xdr:grpSpPr>
      <xdr:sp macro="" textlink="">
        <xdr:nvSpPr>
          <xdr:cNvPr id="135" name="TextBox 134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136" name="TextBox 135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Vacuum Cleaner</a:t>
            </a:r>
          </a:p>
        </xdr:txBody>
      </xdr:sp>
      <xdr:sp macro="" textlink="">
        <xdr:nvSpPr>
          <xdr:cNvPr id="137" name="TextBox 136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38" name="TextBox 137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39" name="TextBox 138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0" name="TextBox 139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10144-Vacuum</a:t>
            </a:r>
            <a:r>
              <a:rPr lang="en-US" sz="1100" baseline="0"/>
              <a:t> Cleaner-BOM-01</a:t>
            </a:r>
            <a:endParaRPr lang="en-US" sz="1100"/>
          </a:p>
        </xdr:txBody>
      </xdr:sp>
      <xdr:sp macro="" textlink="">
        <xdr:nvSpPr>
          <xdr:cNvPr id="141" name="TextBox 140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5</a:t>
            </a:r>
            <a:endParaRPr lang="en-US" sz="1050"/>
          </a:p>
        </xdr:txBody>
      </xdr:sp>
      <xdr:sp macro="" textlink="">
        <xdr:nvSpPr>
          <xdr:cNvPr id="142" name="TextBox 141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43" name="TextBox 142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44" name="Picture 14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28575</xdr:colOff>
      <xdr:row>131</xdr:row>
      <xdr:rowOff>19050</xdr:rowOff>
    </xdr:from>
    <xdr:to>
      <xdr:col>16</xdr:col>
      <xdr:colOff>204694</xdr:colOff>
      <xdr:row>134</xdr:row>
      <xdr:rowOff>156225</xdr:rowOff>
    </xdr:to>
    <xdr:grpSp>
      <xdr:nvGrpSpPr>
        <xdr:cNvPr id="148" name="Group 147"/>
        <xdr:cNvGrpSpPr/>
      </xdr:nvGrpSpPr>
      <xdr:grpSpPr>
        <a:xfrm>
          <a:off x="28575" y="25403175"/>
          <a:ext cx="8996269" cy="680100"/>
          <a:chOff x="0" y="8279"/>
          <a:chExt cx="8302625" cy="703632"/>
        </a:xfrm>
      </xdr:grpSpPr>
      <xdr:sp macro="" textlink="">
        <xdr:nvSpPr>
          <xdr:cNvPr id="149" name="TextBox 148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Vacuum Cleaner</a:t>
            </a: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4" name="TextBox 153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10144-Vacuum</a:t>
            </a:r>
            <a:r>
              <a:rPr lang="en-US" sz="1100" baseline="0"/>
              <a:t> Cleaner-BOM-01</a:t>
            </a:r>
            <a:endParaRPr lang="en-US" sz="1100"/>
          </a:p>
        </xdr:txBody>
      </xdr:sp>
      <xdr:sp macro="" textlink="">
        <xdr:nvSpPr>
          <xdr:cNvPr id="155" name="TextBox 154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5</a:t>
            </a:r>
            <a:endParaRPr lang="en-US" sz="1050"/>
          </a:p>
        </xdr:txBody>
      </xdr:sp>
      <xdr:sp macro="" textlink="">
        <xdr:nvSpPr>
          <xdr:cNvPr id="156" name="TextBox 155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7" name="TextBox 156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58" name="Picture 15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26</xdr:row>
      <xdr:rowOff>47625</xdr:rowOff>
    </xdr:from>
    <xdr:to>
      <xdr:col>16</xdr:col>
      <xdr:colOff>196675</xdr:colOff>
      <xdr:row>30</xdr:row>
      <xdr:rowOff>139612</xdr:rowOff>
    </xdr:to>
    <xdr:grpSp>
      <xdr:nvGrpSpPr>
        <xdr:cNvPr id="13" name="Group 12"/>
        <xdr:cNvGrpSpPr/>
      </xdr:nvGrpSpPr>
      <xdr:grpSpPr>
        <a:xfrm>
          <a:off x="47625" y="5124450"/>
          <a:ext cx="8311975" cy="815887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47625</xdr:colOff>
      <xdr:row>58</xdr:row>
      <xdr:rowOff>66675</xdr:rowOff>
    </xdr:from>
    <xdr:to>
      <xdr:col>16</xdr:col>
      <xdr:colOff>196675</xdr:colOff>
      <xdr:row>62</xdr:row>
      <xdr:rowOff>155302</xdr:rowOff>
    </xdr:to>
    <xdr:grpSp>
      <xdr:nvGrpSpPr>
        <xdr:cNvPr id="33" name="Group 32"/>
        <xdr:cNvGrpSpPr/>
      </xdr:nvGrpSpPr>
      <xdr:grpSpPr>
        <a:xfrm>
          <a:off x="47625" y="11096625"/>
          <a:ext cx="8311975" cy="812527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22412</xdr:colOff>
      <xdr:row>0</xdr:row>
      <xdr:rowOff>33617</xdr:rowOff>
    </xdr:from>
    <xdr:to>
      <xdr:col>18</xdr:col>
      <xdr:colOff>55656</xdr:colOff>
      <xdr:row>4</xdr:row>
      <xdr:rowOff>13909</xdr:rowOff>
    </xdr:to>
    <xdr:grpSp>
      <xdr:nvGrpSpPr>
        <xdr:cNvPr id="42" name="Group 41"/>
        <xdr:cNvGrpSpPr/>
      </xdr:nvGrpSpPr>
      <xdr:grpSpPr>
        <a:xfrm>
          <a:off x="22412" y="33617"/>
          <a:ext cx="8996269" cy="675617"/>
          <a:chOff x="0" y="8279"/>
          <a:chExt cx="830262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Air Totary Filter</a:t>
            </a: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>
                <a:cs typeface="B Nazanin" panose="00000400000000000000" pitchFamily="2" charset="-78"/>
              </a:rPr>
              <a:t>Drum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10144-A.R.F-BOM-05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27214</xdr:colOff>
      <xdr:row>33</xdr:row>
      <xdr:rowOff>27215</xdr:rowOff>
    </xdr:from>
    <xdr:to>
      <xdr:col>18</xdr:col>
      <xdr:colOff>60458</xdr:colOff>
      <xdr:row>36</xdr:row>
      <xdr:rowOff>157185</xdr:rowOff>
    </xdr:to>
    <xdr:grpSp>
      <xdr:nvGrpSpPr>
        <xdr:cNvPr id="53" name="Group 52"/>
        <xdr:cNvGrpSpPr/>
      </xdr:nvGrpSpPr>
      <xdr:grpSpPr>
        <a:xfrm>
          <a:off x="27214" y="6370865"/>
          <a:ext cx="8996269" cy="672895"/>
          <a:chOff x="0" y="8279"/>
          <a:chExt cx="8302625" cy="703632"/>
        </a:xfrm>
      </xdr:grpSpPr>
      <xdr:sp macro="" textlink="">
        <xdr:nvSpPr>
          <xdr:cNvPr id="54" name="TextBox 53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Air Totary Filter</a:t>
            </a: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>
                <a:cs typeface="B Nazanin" panose="00000400000000000000" pitchFamily="2" charset="-78"/>
              </a:rPr>
              <a:t>Drum</a:t>
            </a:r>
          </a:p>
        </xdr:txBody>
      </xdr:sp>
      <xdr:sp macro="" textlink="">
        <xdr:nvSpPr>
          <xdr:cNvPr id="57" name="TextBox 56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9" name="TextBox 58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10144-A.R.F-BOM-05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2</a:t>
            </a:r>
            <a:endParaRPr lang="en-US" sz="1050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62" name="TextBox 61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63" name="Picture 6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18</xdr:row>
      <xdr:rowOff>123825</xdr:rowOff>
    </xdr:from>
    <xdr:to>
      <xdr:col>16</xdr:col>
      <xdr:colOff>290708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59890"/>
          <a:ext cx="8318626" cy="809213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33131</xdr:colOff>
      <xdr:row>0</xdr:row>
      <xdr:rowOff>33130</xdr:rowOff>
    </xdr:from>
    <xdr:to>
      <xdr:col>18</xdr:col>
      <xdr:colOff>160407</xdr:colOff>
      <xdr:row>4</xdr:row>
      <xdr:rowOff>12448</xdr:rowOff>
    </xdr:to>
    <xdr:grpSp>
      <xdr:nvGrpSpPr>
        <xdr:cNvPr id="22" name="Group 21"/>
        <xdr:cNvGrpSpPr/>
      </xdr:nvGrpSpPr>
      <xdr:grpSpPr>
        <a:xfrm>
          <a:off x="33131" y="33130"/>
          <a:ext cx="8997950" cy="675057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Air Totary Filter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>
                <a:cs typeface="B Nazanin" panose="00000400000000000000" pitchFamily="2" charset="-78"/>
              </a:rPr>
              <a:t>Driven Stand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10144-A.R.F-BOM-04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18</xdr:col>
      <xdr:colOff>206375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7950" cy="675057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Air Totary Filter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>
                <a:cs typeface="B Nazanin" panose="00000400000000000000" pitchFamily="2" charset="-78"/>
              </a:rPr>
              <a:t>Driver Stand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10144-A.R.F-BOM-03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2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17</xdr:col>
      <xdr:colOff>34750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810125"/>
          <a:ext cx="8350075" cy="8125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38100</xdr:colOff>
      <xdr:row>52</xdr:row>
      <xdr:rowOff>104775</xdr:rowOff>
    </xdr:from>
    <xdr:to>
      <xdr:col>16</xdr:col>
      <xdr:colOff>358600</xdr:colOff>
      <xdr:row>57</xdr:row>
      <xdr:rowOff>2901</xdr:rowOff>
    </xdr:to>
    <xdr:grpSp>
      <xdr:nvGrpSpPr>
        <xdr:cNvPr id="33" name="Group 32"/>
        <xdr:cNvGrpSpPr/>
      </xdr:nvGrpSpPr>
      <xdr:grpSpPr>
        <a:xfrm>
          <a:off x="38100" y="10487025"/>
          <a:ext cx="8311975" cy="803001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19050</xdr:colOff>
      <xdr:row>33</xdr:row>
      <xdr:rowOff>19050</xdr:rowOff>
    </xdr:from>
    <xdr:to>
      <xdr:col>18</xdr:col>
      <xdr:colOff>225425</xdr:colOff>
      <xdr:row>36</xdr:row>
      <xdr:rowOff>151182</xdr:rowOff>
    </xdr:to>
    <xdr:grpSp>
      <xdr:nvGrpSpPr>
        <xdr:cNvPr id="42" name="Group 41"/>
        <xdr:cNvGrpSpPr/>
      </xdr:nvGrpSpPr>
      <xdr:grpSpPr>
        <a:xfrm>
          <a:off x="19050" y="6438900"/>
          <a:ext cx="8997950" cy="675057"/>
          <a:chOff x="0" y="8279"/>
          <a:chExt cx="8302625" cy="703632"/>
        </a:xfrm>
      </xdr:grpSpPr>
      <xdr:sp macro="" textlink="">
        <xdr:nvSpPr>
          <xdr:cNvPr id="43" name="TextBox 4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0" y="364439"/>
            <a:ext cx="14062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en-US" sz="1050" baseline="0">
                <a:cs typeface="B Nazanin" panose="00000400000000000000" pitchFamily="2" charset="-78"/>
              </a:rPr>
              <a:t>Air Totary Filter</a:t>
            </a: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>
                <a:cs typeface="B Nazanin" panose="00000400000000000000" pitchFamily="2" charset="-78"/>
              </a:rPr>
              <a:t>Driver Stand</a:t>
            </a: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10144-A.R.F-BOM-03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No.2 of 2</a:t>
            </a:r>
            <a:endParaRPr lang="en-US" sz="1050"/>
          </a:p>
        </xdr:txBody>
      </xdr:sp>
      <xdr:sp macro="" textlink="">
        <xdr:nvSpPr>
          <xdr:cNvPr id="50" name="TextBox 4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51" name="TextBox 5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52" name="Picture 5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082722" cy="678784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</a:t>
            </a:r>
            <a:r>
              <a:rPr lang="en-US" sz="1100" baseline="0"/>
              <a:t> 10144</a:t>
            </a:r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41046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Air Rotary Filter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en-US" sz="1100">
                <a:cs typeface="B Nazanin" panose="00000400000000000000" pitchFamily="2" charset="-78"/>
              </a:rPr>
              <a:t>Drum Frame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10144-A.R.F-BOM-02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17</xdr:col>
      <xdr:colOff>15700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2305"/>
          <a:ext cx="8318187" cy="81749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18</xdr:col>
      <xdr:colOff>120650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999607" cy="678784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10144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Air Rotary Filter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Driving</a:t>
            </a:r>
            <a:r>
              <a:rPr lang="en-US" sz="1100" baseline="0"/>
              <a:t> System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</a:t>
            </a:r>
            <a:r>
              <a:rPr lang="en-US" sz="1100" baseline="0"/>
              <a:t> 10144-A.R.F-BOM-01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1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97.12.19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17394</xdr:colOff>
      <xdr:row>25</xdr:row>
      <xdr:rowOff>32715</xdr:rowOff>
    </xdr:from>
    <xdr:to>
      <xdr:col>16</xdr:col>
      <xdr:colOff>287784</xdr:colOff>
      <xdr:row>29</xdr:row>
      <xdr:rowOff>113059</xdr:rowOff>
    </xdr:to>
    <xdr:grpSp>
      <xdr:nvGrpSpPr>
        <xdr:cNvPr id="13" name="Group 12"/>
        <xdr:cNvGrpSpPr/>
      </xdr:nvGrpSpPr>
      <xdr:grpSpPr>
        <a:xfrm>
          <a:off x="17394" y="4803498"/>
          <a:ext cx="8354216" cy="809213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23211</xdr:colOff>
      <xdr:row>25</xdr:row>
      <xdr:rowOff>29896</xdr:rowOff>
    </xdr:from>
    <xdr:to>
      <xdr:col>14</xdr:col>
      <xdr:colOff>248461</xdr:colOff>
      <xdr:row>29</xdr:row>
      <xdr:rowOff>89944</xdr:rowOff>
    </xdr:to>
    <xdr:grpSp>
      <xdr:nvGrpSpPr>
        <xdr:cNvPr id="2" name="Group 1"/>
        <xdr:cNvGrpSpPr/>
      </xdr:nvGrpSpPr>
      <xdr:grpSpPr>
        <a:xfrm>
          <a:off x="23211" y="4833809"/>
          <a:ext cx="7571924" cy="78891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Product:Fan</a:t>
            </a:r>
            <a:r>
              <a:rPr lang="en-US" sz="800" baseline="0"/>
              <a:t> Case</a:t>
            </a:r>
            <a:endParaRPr lang="en-US" sz="800"/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10144-Fan</a:t>
            </a:r>
            <a:r>
              <a:rPr lang="en-US" sz="800" baseline="0"/>
              <a:t> Case-BOM-01</a:t>
            </a:r>
            <a:endParaRPr lang="en-US" sz="8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30538</xdr:colOff>
      <xdr:row>27</xdr:row>
      <xdr:rowOff>69395</xdr:rowOff>
    </xdr:from>
    <xdr:to>
      <xdr:col>14</xdr:col>
      <xdr:colOff>255788</xdr:colOff>
      <xdr:row>31</xdr:row>
      <xdr:rowOff>129444</xdr:rowOff>
    </xdr:to>
    <xdr:grpSp>
      <xdr:nvGrpSpPr>
        <xdr:cNvPr id="2" name="Group 1"/>
        <xdr:cNvGrpSpPr/>
      </xdr:nvGrpSpPr>
      <xdr:grpSpPr>
        <a:xfrm>
          <a:off x="30538" y="5237743"/>
          <a:ext cx="7571924" cy="788918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0</xdr:row>
      <xdr:rowOff>8279</xdr:rowOff>
    </xdr:from>
    <xdr:to>
      <xdr:col>17</xdr:col>
      <xdr:colOff>82550</xdr:colOff>
      <xdr:row>3</xdr:row>
      <xdr:rowOff>140411</xdr:rowOff>
    </xdr:to>
    <xdr:grpSp>
      <xdr:nvGrpSpPr>
        <xdr:cNvPr id="11" name="Group 10"/>
        <xdr:cNvGrpSpPr/>
      </xdr:nvGrpSpPr>
      <xdr:grpSpPr>
        <a:xfrm>
          <a:off x="0" y="8279"/>
          <a:ext cx="8663333" cy="678784"/>
          <a:chOff x="0" y="8279"/>
          <a:chExt cx="8321675" cy="703632"/>
        </a:xfrm>
      </xdr:grpSpPr>
      <xdr:sp macro="" textlink="">
        <xdr:nvSpPr>
          <xdr:cNvPr id="12" name="TextBox 1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Product:Damper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10144-Damper-BOM-01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2</a:t>
            </a:r>
            <a:endParaRPr lang="en-US" sz="800"/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20" name="TextBox 19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33617</xdr:colOff>
      <xdr:row>36</xdr:row>
      <xdr:rowOff>33618</xdr:rowOff>
    </xdr:from>
    <xdr:to>
      <xdr:col>17</xdr:col>
      <xdr:colOff>116167</xdr:colOff>
      <xdr:row>39</xdr:row>
      <xdr:rowOff>165749</xdr:rowOff>
    </xdr:to>
    <xdr:grpSp>
      <xdr:nvGrpSpPr>
        <xdr:cNvPr id="22" name="Group 21"/>
        <xdr:cNvGrpSpPr/>
      </xdr:nvGrpSpPr>
      <xdr:grpSpPr>
        <a:xfrm>
          <a:off x="33617" y="6841922"/>
          <a:ext cx="8663333" cy="678784"/>
          <a:chOff x="0" y="8279"/>
          <a:chExt cx="832167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10144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917388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Product:Damper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885563" y="364426"/>
            <a:ext cx="124443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5" y="8279"/>
            <a:ext cx="139563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en-US" sz="800" baseline="0"/>
              <a:t> </a:t>
            </a:r>
            <a:endParaRPr lang="en-US" sz="8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Client: 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301239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 10144-Damper-BOM-01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2 of 2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9609" y="353251"/>
            <a:ext cx="150337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97.12.19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10475" y="38100"/>
            <a:ext cx="711200" cy="64008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30538</xdr:colOff>
      <xdr:row>62</xdr:row>
      <xdr:rowOff>69395</xdr:rowOff>
    </xdr:from>
    <xdr:ext cx="7576309" cy="777226"/>
    <xdr:grpSp>
      <xdr:nvGrpSpPr>
        <xdr:cNvPr id="33" name="Group 32"/>
        <xdr:cNvGrpSpPr/>
      </xdr:nvGrpSpPr>
      <xdr:grpSpPr>
        <a:xfrm>
          <a:off x="30538" y="12070895"/>
          <a:ext cx="7576309" cy="7772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23"/>
  <sheetViews>
    <sheetView tabSelected="1" view="pageLayout" topLeftCell="A100" zoomScale="115" zoomScaleNormal="100" zoomScalePageLayoutView="115" workbookViewId="0">
      <selection activeCell="D109" sqref="D109:D1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125" bestFit="1" customWidth="1"/>
    <col min="5" max="5" width="5.875" customWidth="1"/>
    <col min="6" max="7" width="5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45" t="s">
        <v>1</v>
      </c>
      <c r="N6" s="12"/>
      <c r="O6" s="12"/>
      <c r="P6" s="12"/>
      <c r="Q6" s="17" t="s">
        <v>15</v>
      </c>
    </row>
    <row r="7" spans="1:17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2" t="s">
        <v>16</v>
      </c>
    </row>
    <row r="8" spans="1:17" ht="14.25" customHeight="1" x14ac:dyDescent="0.2">
      <c r="A8" s="215" t="s">
        <v>329</v>
      </c>
      <c r="B8" s="218" t="s">
        <v>21</v>
      </c>
      <c r="C8" s="215" t="s">
        <v>283</v>
      </c>
      <c r="D8" s="113" t="s">
        <v>472</v>
      </c>
      <c r="E8" s="193">
        <v>1</v>
      </c>
      <c r="F8" s="218" t="s">
        <v>19</v>
      </c>
      <c r="G8" s="215" t="s">
        <v>283</v>
      </c>
      <c r="H8" s="112" t="s">
        <v>473</v>
      </c>
      <c r="I8" s="215">
        <v>1</v>
      </c>
      <c r="J8" s="215">
        <v>2</v>
      </c>
      <c r="K8" s="283" t="s">
        <v>19</v>
      </c>
      <c r="L8" s="123" t="s">
        <v>474</v>
      </c>
      <c r="M8" s="326" t="s">
        <v>475</v>
      </c>
      <c r="N8" s="283">
        <v>1</v>
      </c>
      <c r="O8" s="283">
        <f>N8*E8</f>
        <v>1</v>
      </c>
      <c r="P8" s="236">
        <f>O8*B$8</f>
        <v>2</v>
      </c>
      <c r="Q8" s="246"/>
    </row>
    <row r="9" spans="1:17" ht="14.25" customHeight="1" x14ac:dyDescent="0.2">
      <c r="A9" s="215"/>
      <c r="B9" s="218"/>
      <c r="C9" s="215"/>
      <c r="D9" s="113"/>
      <c r="E9" s="193"/>
      <c r="F9" s="218"/>
      <c r="G9" s="215"/>
      <c r="H9" s="112"/>
      <c r="I9" s="215"/>
      <c r="J9" s="215"/>
      <c r="K9" s="283" t="s">
        <v>21</v>
      </c>
      <c r="L9" s="123" t="s">
        <v>476</v>
      </c>
      <c r="M9" s="326" t="s">
        <v>477</v>
      </c>
      <c r="N9" s="283">
        <v>2</v>
      </c>
      <c r="O9" s="283">
        <f>N9*E8</f>
        <v>2</v>
      </c>
      <c r="P9" s="236">
        <f t="shared" ref="P9:P19" si="0">O9*B$8</f>
        <v>4</v>
      </c>
      <c r="Q9" s="246"/>
    </row>
    <row r="10" spans="1:17" ht="14.25" customHeight="1" x14ac:dyDescent="0.2">
      <c r="A10" s="215"/>
      <c r="B10" s="218"/>
      <c r="C10" s="215"/>
      <c r="D10" s="113"/>
      <c r="E10" s="193"/>
      <c r="F10" s="218"/>
      <c r="G10" s="215"/>
      <c r="H10" s="112"/>
      <c r="I10" s="215"/>
      <c r="J10" s="215"/>
      <c r="K10" s="283" t="s">
        <v>23</v>
      </c>
      <c r="L10" s="123" t="s">
        <v>478</v>
      </c>
      <c r="M10" s="326" t="s">
        <v>479</v>
      </c>
      <c r="N10" s="283">
        <v>1</v>
      </c>
      <c r="O10" s="283">
        <f>N10*E8</f>
        <v>1</v>
      </c>
      <c r="P10" s="236">
        <f t="shared" si="0"/>
        <v>2</v>
      </c>
      <c r="Q10" s="246"/>
    </row>
    <row r="11" spans="1:17" ht="14.25" customHeight="1" x14ac:dyDescent="0.2">
      <c r="A11" s="215"/>
      <c r="B11" s="218"/>
      <c r="C11" s="215"/>
      <c r="D11" s="113"/>
      <c r="E11" s="193"/>
      <c r="F11" s="218"/>
      <c r="G11" s="215"/>
      <c r="H11" s="112"/>
      <c r="I11" s="215"/>
      <c r="J11" s="215"/>
      <c r="K11" s="283" t="s">
        <v>26</v>
      </c>
      <c r="L11" s="123" t="s">
        <v>480</v>
      </c>
      <c r="M11" s="326" t="s">
        <v>481</v>
      </c>
      <c r="N11" s="283">
        <v>1</v>
      </c>
      <c r="O11" s="283">
        <f>N11*E8</f>
        <v>1</v>
      </c>
      <c r="P11" s="236">
        <f t="shared" si="0"/>
        <v>2</v>
      </c>
      <c r="Q11" s="246"/>
    </row>
    <row r="12" spans="1:17" ht="14.25" customHeight="1" x14ac:dyDescent="0.2">
      <c r="A12" s="215"/>
      <c r="B12" s="218"/>
      <c r="C12" s="215"/>
      <c r="D12" s="113"/>
      <c r="E12" s="193"/>
      <c r="F12" s="218"/>
      <c r="G12" s="215"/>
      <c r="H12" s="112"/>
      <c r="I12" s="215"/>
      <c r="J12" s="215"/>
      <c r="K12" s="283" t="s">
        <v>29</v>
      </c>
      <c r="L12" s="123" t="s">
        <v>482</v>
      </c>
      <c r="M12" s="326" t="s">
        <v>483</v>
      </c>
      <c r="N12" s="283">
        <v>2</v>
      </c>
      <c r="O12" s="283">
        <f>N12*E8</f>
        <v>2</v>
      </c>
      <c r="P12" s="236">
        <f t="shared" si="0"/>
        <v>4</v>
      </c>
      <c r="Q12" s="246"/>
    </row>
    <row r="13" spans="1:17" ht="14.25" customHeight="1" x14ac:dyDescent="0.2">
      <c r="A13" s="215"/>
      <c r="B13" s="218"/>
      <c r="C13" s="215"/>
      <c r="D13" s="113"/>
      <c r="E13" s="193"/>
      <c r="F13" s="218"/>
      <c r="G13" s="215"/>
      <c r="H13" s="112"/>
      <c r="I13" s="215"/>
      <c r="J13" s="215"/>
      <c r="K13" s="283" t="s">
        <v>32</v>
      </c>
      <c r="L13" s="123" t="s">
        <v>484</v>
      </c>
      <c r="M13" s="327" t="s">
        <v>483</v>
      </c>
      <c r="N13" s="283">
        <v>1</v>
      </c>
      <c r="O13" s="283">
        <f>N13*E8</f>
        <v>1</v>
      </c>
      <c r="P13" s="236">
        <f t="shared" si="0"/>
        <v>2</v>
      </c>
      <c r="Q13" s="246"/>
    </row>
    <row r="14" spans="1:17" ht="14.25" customHeight="1" x14ac:dyDescent="0.2">
      <c r="A14" s="215"/>
      <c r="B14" s="218"/>
      <c r="C14" s="215"/>
      <c r="D14" s="113"/>
      <c r="E14" s="193"/>
      <c r="F14" s="218"/>
      <c r="G14" s="215"/>
      <c r="H14" s="112"/>
      <c r="I14" s="215"/>
      <c r="J14" s="215"/>
      <c r="K14" s="283" t="s">
        <v>35</v>
      </c>
      <c r="L14" s="123" t="s">
        <v>485</v>
      </c>
      <c r="M14" s="326" t="s">
        <v>486</v>
      </c>
      <c r="N14" s="283">
        <v>1</v>
      </c>
      <c r="O14" s="283">
        <f>N14*E8</f>
        <v>1</v>
      </c>
      <c r="P14" s="236">
        <f t="shared" si="0"/>
        <v>2</v>
      </c>
      <c r="Q14" s="246"/>
    </row>
    <row r="15" spans="1:17" ht="14.25" customHeight="1" x14ac:dyDescent="0.2">
      <c r="A15" s="215"/>
      <c r="B15" s="218"/>
      <c r="C15" s="215"/>
      <c r="D15" s="113"/>
      <c r="E15" s="193"/>
      <c r="F15" s="218"/>
      <c r="G15" s="215"/>
      <c r="H15" s="112"/>
      <c r="I15" s="215"/>
      <c r="J15" s="215"/>
      <c r="K15" s="283" t="s">
        <v>37</v>
      </c>
      <c r="L15" s="123" t="s">
        <v>487</v>
      </c>
      <c r="M15" s="326" t="s">
        <v>488</v>
      </c>
      <c r="N15" s="283">
        <v>1</v>
      </c>
      <c r="O15" s="283">
        <f>N15*E8</f>
        <v>1</v>
      </c>
      <c r="P15" s="236">
        <f t="shared" si="0"/>
        <v>2</v>
      </c>
      <c r="Q15" s="246"/>
    </row>
    <row r="16" spans="1:17" ht="14.25" customHeight="1" x14ac:dyDescent="0.2">
      <c r="A16" s="215"/>
      <c r="B16" s="218"/>
      <c r="C16" s="215"/>
      <c r="D16" s="113"/>
      <c r="E16" s="193"/>
      <c r="F16" s="218"/>
      <c r="G16" s="215"/>
      <c r="H16" s="112"/>
      <c r="I16" s="215"/>
      <c r="J16" s="215"/>
      <c r="K16" s="283" t="s">
        <v>40</v>
      </c>
      <c r="L16" s="123" t="s">
        <v>489</v>
      </c>
      <c r="M16" s="326" t="s">
        <v>490</v>
      </c>
      <c r="N16" s="283">
        <v>4</v>
      </c>
      <c r="O16" s="283">
        <v>4</v>
      </c>
      <c r="P16" s="236">
        <f t="shared" si="0"/>
        <v>8</v>
      </c>
      <c r="Q16" s="247"/>
    </row>
    <row r="17" spans="1:17" ht="14.25" customHeight="1" x14ac:dyDescent="0.2">
      <c r="A17" s="215"/>
      <c r="B17" s="218"/>
      <c r="C17" s="215"/>
      <c r="D17" s="113"/>
      <c r="E17" s="193"/>
      <c r="F17" s="218"/>
      <c r="G17" s="215"/>
      <c r="H17" s="112"/>
      <c r="I17" s="215"/>
      <c r="J17" s="215"/>
      <c r="K17" s="283" t="s">
        <v>51</v>
      </c>
      <c r="L17" s="123" t="s">
        <v>491</v>
      </c>
      <c r="M17" s="326" t="s">
        <v>492</v>
      </c>
      <c r="N17" s="283">
        <v>4</v>
      </c>
      <c r="O17" s="283">
        <v>4</v>
      </c>
      <c r="P17" s="236">
        <f t="shared" si="0"/>
        <v>8</v>
      </c>
      <c r="Q17" s="246"/>
    </row>
    <row r="18" spans="1:17" ht="14.25" customHeight="1" x14ac:dyDescent="0.2">
      <c r="A18" s="215"/>
      <c r="B18" s="218"/>
      <c r="C18" s="215"/>
      <c r="D18" s="113"/>
      <c r="E18" s="193"/>
      <c r="F18" s="218"/>
      <c r="G18" s="215"/>
      <c r="H18" s="112"/>
      <c r="I18" s="215"/>
      <c r="J18" s="215"/>
      <c r="K18" s="283" t="s">
        <v>52</v>
      </c>
      <c r="L18" s="123" t="s">
        <v>369</v>
      </c>
      <c r="M18" s="292" t="s">
        <v>95</v>
      </c>
      <c r="N18" s="283">
        <v>16</v>
      </c>
      <c r="O18" s="283">
        <v>16</v>
      </c>
      <c r="P18" s="236">
        <f t="shared" si="0"/>
        <v>32</v>
      </c>
      <c r="Q18" s="246"/>
    </row>
    <row r="19" spans="1:17" ht="14.25" customHeight="1" x14ac:dyDescent="0.2">
      <c r="A19" s="215"/>
      <c r="B19" s="218"/>
      <c r="C19" s="215"/>
      <c r="D19" s="113"/>
      <c r="E19" s="193"/>
      <c r="F19" s="218"/>
      <c r="G19" s="215"/>
      <c r="H19" s="112"/>
      <c r="I19" s="215"/>
      <c r="J19" s="215"/>
      <c r="K19" s="283" t="s">
        <v>53</v>
      </c>
      <c r="L19" s="123" t="s">
        <v>371</v>
      </c>
      <c r="M19" s="292" t="s">
        <v>42</v>
      </c>
      <c r="N19" s="283">
        <v>16</v>
      </c>
      <c r="O19" s="283">
        <v>16</v>
      </c>
      <c r="P19" s="236">
        <f t="shared" si="0"/>
        <v>32</v>
      </c>
      <c r="Q19" s="246"/>
    </row>
    <row r="20" spans="1:17" x14ac:dyDescent="0.2">
      <c r="I20" s="5"/>
      <c r="J20" s="5"/>
    </row>
    <row r="38" spans="1:17" ht="5.25" customHeight="1" x14ac:dyDescent="0.2"/>
    <row r="39" spans="1:17" ht="19.5" x14ac:dyDescent="0.2">
      <c r="A39" s="49" t="s">
        <v>0</v>
      </c>
      <c r="B39" s="50"/>
      <c r="C39" s="11"/>
      <c r="D39" s="12"/>
      <c r="E39" s="12" t="s">
        <v>14</v>
      </c>
      <c r="F39" s="13"/>
      <c r="G39" s="12"/>
      <c r="H39" s="12" t="s">
        <v>13</v>
      </c>
      <c r="I39" s="12"/>
      <c r="J39" s="13"/>
      <c r="K39" s="11"/>
      <c r="L39" s="12"/>
      <c r="M39" s="45" t="s">
        <v>1</v>
      </c>
      <c r="N39" s="12"/>
      <c r="O39" s="12"/>
      <c r="P39" s="12"/>
      <c r="Q39" s="17" t="s">
        <v>15</v>
      </c>
    </row>
    <row r="40" spans="1:17" ht="45" x14ac:dyDescent="0.2">
      <c r="A40" s="20" t="s">
        <v>2</v>
      </c>
      <c r="B40" s="3" t="s">
        <v>3</v>
      </c>
      <c r="C40" s="14" t="s">
        <v>4</v>
      </c>
      <c r="D40" s="15" t="s">
        <v>5</v>
      </c>
      <c r="E40" s="14" t="s">
        <v>6</v>
      </c>
      <c r="F40" s="14" t="s">
        <v>3</v>
      </c>
      <c r="G40" s="3" t="s">
        <v>10</v>
      </c>
      <c r="H40" s="3" t="s">
        <v>5</v>
      </c>
      <c r="I40" s="3" t="s">
        <v>12</v>
      </c>
      <c r="J40" s="3" t="s">
        <v>11</v>
      </c>
      <c r="K40" s="1" t="s">
        <v>7</v>
      </c>
      <c r="L40" s="2" t="s">
        <v>5</v>
      </c>
      <c r="M40" s="2" t="s">
        <v>9</v>
      </c>
      <c r="N40" s="3" t="s">
        <v>8</v>
      </c>
      <c r="O40" s="3" t="s">
        <v>6</v>
      </c>
      <c r="P40" s="16" t="s">
        <v>3</v>
      </c>
      <c r="Q40" s="2" t="s">
        <v>16</v>
      </c>
    </row>
    <row r="41" spans="1:17" ht="15" customHeight="1" x14ac:dyDescent="0.2">
      <c r="A41" s="215" t="s">
        <v>329</v>
      </c>
      <c r="B41" s="215" t="s">
        <v>21</v>
      </c>
      <c r="C41" s="215" t="s">
        <v>283</v>
      </c>
      <c r="D41" s="113" t="s">
        <v>472</v>
      </c>
      <c r="E41" s="193">
        <v>1</v>
      </c>
      <c r="F41" s="218" t="s">
        <v>21</v>
      </c>
      <c r="G41" s="222" t="s">
        <v>292</v>
      </c>
      <c r="H41" s="111" t="s">
        <v>493</v>
      </c>
      <c r="I41" s="222">
        <v>1</v>
      </c>
      <c r="J41" s="222" t="s">
        <v>21</v>
      </c>
      <c r="K41" s="275" t="s">
        <v>57</v>
      </c>
      <c r="L41" s="171" t="s">
        <v>494</v>
      </c>
      <c r="M41" s="326" t="s">
        <v>475</v>
      </c>
      <c r="N41" s="283">
        <v>1</v>
      </c>
      <c r="O41" s="283">
        <f>N41*E41</f>
        <v>1</v>
      </c>
      <c r="P41" s="236">
        <f>O41*B$41</f>
        <v>2</v>
      </c>
      <c r="Q41" s="23"/>
    </row>
    <row r="42" spans="1:17" x14ac:dyDescent="0.2">
      <c r="A42" s="215"/>
      <c r="B42" s="215"/>
      <c r="C42" s="215"/>
      <c r="D42" s="113"/>
      <c r="E42" s="193"/>
      <c r="F42" s="218"/>
      <c r="G42" s="223"/>
      <c r="H42" s="118"/>
      <c r="I42" s="223"/>
      <c r="J42" s="223"/>
      <c r="K42" s="275" t="s">
        <v>58</v>
      </c>
      <c r="L42" s="171" t="s">
        <v>495</v>
      </c>
      <c r="M42" s="326" t="s">
        <v>477</v>
      </c>
      <c r="N42" s="283">
        <v>2</v>
      </c>
      <c r="O42" s="283">
        <f>N42*E41</f>
        <v>2</v>
      </c>
      <c r="P42" s="236">
        <f t="shared" ref="P42:P48" si="1">O42*B$41</f>
        <v>4</v>
      </c>
      <c r="Q42" s="23"/>
    </row>
    <row r="43" spans="1:17" ht="15" thickBot="1" x14ac:dyDescent="0.25">
      <c r="A43" s="215"/>
      <c r="B43" s="215"/>
      <c r="C43" s="215"/>
      <c r="D43" s="113"/>
      <c r="E43" s="193"/>
      <c r="F43" s="218"/>
      <c r="G43" s="223"/>
      <c r="H43" s="118"/>
      <c r="I43" s="223"/>
      <c r="J43" s="223"/>
      <c r="K43" s="341" t="s">
        <v>64</v>
      </c>
      <c r="L43" s="347" t="s">
        <v>489</v>
      </c>
      <c r="M43" s="348" t="s">
        <v>490</v>
      </c>
      <c r="N43" s="328">
        <v>4</v>
      </c>
      <c r="O43" s="328">
        <v>4</v>
      </c>
      <c r="P43" s="329">
        <f t="shared" si="1"/>
        <v>8</v>
      </c>
      <c r="Q43" s="330"/>
    </row>
    <row r="44" spans="1:17" x14ac:dyDescent="0.2">
      <c r="A44" s="215"/>
      <c r="B44" s="215"/>
      <c r="C44" s="215"/>
      <c r="D44" s="113"/>
      <c r="E44" s="193"/>
      <c r="F44" s="346"/>
      <c r="G44" s="342" t="s">
        <v>282</v>
      </c>
      <c r="H44" s="248" t="s">
        <v>496</v>
      </c>
      <c r="I44" s="342">
        <v>1</v>
      </c>
      <c r="J44" s="342" t="s">
        <v>21</v>
      </c>
      <c r="K44" s="343" t="s">
        <v>65</v>
      </c>
      <c r="L44" s="349" t="s">
        <v>376</v>
      </c>
      <c r="M44" s="350" t="s">
        <v>377</v>
      </c>
      <c r="N44" s="331">
        <v>12</v>
      </c>
      <c r="O44" s="331">
        <v>12</v>
      </c>
      <c r="P44" s="332">
        <f t="shared" si="1"/>
        <v>24</v>
      </c>
      <c r="Q44" s="333"/>
    </row>
    <row r="45" spans="1:17" ht="15" thickBot="1" x14ac:dyDescent="0.25">
      <c r="A45" s="215"/>
      <c r="B45" s="215"/>
      <c r="C45" s="215"/>
      <c r="D45" s="113"/>
      <c r="E45" s="193"/>
      <c r="F45" s="346"/>
      <c r="G45" s="344"/>
      <c r="H45" s="249"/>
      <c r="I45" s="344"/>
      <c r="J45" s="344"/>
      <c r="K45" s="309" t="s">
        <v>66</v>
      </c>
      <c r="L45" s="351" t="s">
        <v>79</v>
      </c>
      <c r="M45" s="352" t="s">
        <v>378</v>
      </c>
      <c r="N45" s="334">
        <v>12</v>
      </c>
      <c r="O45" s="334">
        <f>N45*E41</f>
        <v>12</v>
      </c>
      <c r="P45" s="335">
        <f t="shared" si="1"/>
        <v>24</v>
      </c>
      <c r="Q45" s="336"/>
    </row>
    <row r="46" spans="1:17" x14ac:dyDescent="0.2">
      <c r="A46" s="215"/>
      <c r="B46" s="215"/>
      <c r="C46" s="215"/>
      <c r="D46" s="113"/>
      <c r="E46" s="193"/>
      <c r="F46" s="218"/>
      <c r="G46" s="345"/>
      <c r="H46" s="136"/>
      <c r="I46" s="345"/>
      <c r="J46" s="345"/>
      <c r="K46" s="310" t="s">
        <v>67</v>
      </c>
      <c r="L46" s="353" t="s">
        <v>497</v>
      </c>
      <c r="M46" s="354" t="s">
        <v>498</v>
      </c>
      <c r="N46" s="338">
        <v>2</v>
      </c>
      <c r="O46" s="338">
        <v>2</v>
      </c>
      <c r="P46" s="339">
        <f t="shared" si="1"/>
        <v>4</v>
      </c>
      <c r="Q46" s="323"/>
    </row>
    <row r="47" spans="1:17" x14ac:dyDescent="0.2">
      <c r="A47" s="215"/>
      <c r="B47" s="215"/>
      <c r="C47" s="215"/>
      <c r="D47" s="113"/>
      <c r="E47" s="193"/>
      <c r="F47" s="218"/>
      <c r="G47" s="275"/>
      <c r="H47" s="116"/>
      <c r="I47" s="275"/>
      <c r="J47" s="275"/>
      <c r="K47" s="275" t="s">
        <v>68</v>
      </c>
      <c r="L47" s="171" t="s">
        <v>499</v>
      </c>
      <c r="M47" s="292" t="s">
        <v>498</v>
      </c>
      <c r="N47" s="340">
        <v>2</v>
      </c>
      <c r="O47" s="283">
        <v>2</v>
      </c>
      <c r="P47" s="236">
        <f t="shared" si="1"/>
        <v>4</v>
      </c>
      <c r="Q47" s="23"/>
    </row>
    <row r="48" spans="1:17" x14ac:dyDescent="0.2">
      <c r="A48" s="215"/>
      <c r="B48" s="215"/>
      <c r="C48" s="215"/>
      <c r="D48" s="113"/>
      <c r="E48" s="193"/>
      <c r="F48" s="218"/>
      <c r="G48" s="275"/>
      <c r="H48" s="116"/>
      <c r="I48" s="275"/>
      <c r="J48" s="275"/>
      <c r="K48" s="275" t="s">
        <v>69</v>
      </c>
      <c r="L48" s="171" t="s">
        <v>500</v>
      </c>
      <c r="M48" s="292" t="s">
        <v>44</v>
      </c>
      <c r="N48" s="340">
        <v>6</v>
      </c>
      <c r="O48" s="283">
        <v>6</v>
      </c>
      <c r="P48" s="236">
        <f t="shared" si="1"/>
        <v>12</v>
      </c>
      <c r="Q48" s="23"/>
    </row>
    <row r="49" spans="9:10" x14ac:dyDescent="0.2">
      <c r="I49" s="5"/>
      <c r="J49" s="5"/>
    </row>
    <row r="71" spans="1:17" ht="5.25" customHeight="1" x14ac:dyDescent="0.2"/>
    <row r="72" spans="1:17" ht="19.5" x14ac:dyDescent="0.2">
      <c r="A72" s="49" t="s">
        <v>0</v>
      </c>
      <c r="B72" s="50"/>
      <c r="C72" s="11"/>
      <c r="D72" s="12"/>
      <c r="E72" s="12" t="s">
        <v>14</v>
      </c>
      <c r="F72" s="13"/>
      <c r="G72" s="12"/>
      <c r="H72" s="12" t="s">
        <v>13</v>
      </c>
      <c r="I72" s="12"/>
      <c r="J72" s="13"/>
      <c r="K72" s="11"/>
      <c r="L72" s="12"/>
      <c r="M72" s="45" t="s">
        <v>1</v>
      </c>
      <c r="N72" s="12"/>
      <c r="O72" s="12"/>
      <c r="P72" s="12"/>
      <c r="Q72" s="17" t="s">
        <v>15</v>
      </c>
    </row>
    <row r="73" spans="1:17" ht="45" x14ac:dyDescent="0.2">
      <c r="A73" s="20" t="s">
        <v>2</v>
      </c>
      <c r="B73" s="3" t="s">
        <v>3</v>
      </c>
      <c r="C73" s="14" t="s">
        <v>4</v>
      </c>
      <c r="D73" s="15" t="s">
        <v>5</v>
      </c>
      <c r="E73" s="14" t="s">
        <v>6</v>
      </c>
      <c r="F73" s="14" t="s">
        <v>3</v>
      </c>
      <c r="G73" s="3" t="s">
        <v>10</v>
      </c>
      <c r="H73" s="3" t="s">
        <v>5</v>
      </c>
      <c r="I73" s="3" t="s">
        <v>12</v>
      </c>
      <c r="J73" s="3" t="s">
        <v>11</v>
      </c>
      <c r="K73" s="1" t="s">
        <v>7</v>
      </c>
      <c r="L73" s="2" t="s">
        <v>5</v>
      </c>
      <c r="M73" s="2" t="s">
        <v>9</v>
      </c>
      <c r="N73" s="3" t="s">
        <v>8</v>
      </c>
      <c r="O73" s="3" t="s">
        <v>6</v>
      </c>
      <c r="P73" s="16" t="s">
        <v>3</v>
      </c>
      <c r="Q73" s="2" t="s">
        <v>16</v>
      </c>
    </row>
    <row r="74" spans="1:17" ht="12.95" customHeight="1" x14ac:dyDescent="0.2">
      <c r="A74" s="222" t="s">
        <v>329</v>
      </c>
      <c r="B74" s="222" t="s">
        <v>26</v>
      </c>
      <c r="C74" s="368" t="s">
        <v>292</v>
      </c>
      <c r="D74" s="369" t="s">
        <v>501</v>
      </c>
      <c r="E74" s="184" t="s">
        <v>21</v>
      </c>
      <c r="F74" s="174" t="s">
        <v>21</v>
      </c>
      <c r="G74" s="215" t="s">
        <v>283</v>
      </c>
      <c r="H74" s="112" t="s">
        <v>502</v>
      </c>
      <c r="I74" s="215" t="s">
        <v>19</v>
      </c>
      <c r="J74" s="215" t="s">
        <v>26</v>
      </c>
      <c r="K74" s="275" t="s">
        <v>19</v>
      </c>
      <c r="L74" s="172" t="s">
        <v>503</v>
      </c>
      <c r="M74" s="288" t="s">
        <v>504</v>
      </c>
      <c r="N74" s="282">
        <v>1</v>
      </c>
      <c r="O74" s="282">
        <v>1</v>
      </c>
      <c r="P74" s="280">
        <v>4</v>
      </c>
      <c r="Q74" s="23"/>
    </row>
    <row r="75" spans="1:17" ht="12.95" customHeight="1" x14ac:dyDescent="0.2">
      <c r="A75" s="223"/>
      <c r="B75" s="223"/>
      <c r="C75" s="370"/>
      <c r="D75" s="371"/>
      <c r="E75" s="185"/>
      <c r="F75" s="176"/>
      <c r="G75" s="215"/>
      <c r="H75" s="112"/>
      <c r="I75" s="215"/>
      <c r="J75" s="215"/>
      <c r="K75" s="275" t="s">
        <v>21</v>
      </c>
      <c r="L75" s="172" t="s">
        <v>505</v>
      </c>
      <c r="M75" s="288" t="s">
        <v>506</v>
      </c>
      <c r="N75" s="282">
        <v>1</v>
      </c>
      <c r="O75" s="282">
        <v>1</v>
      </c>
      <c r="P75" s="280">
        <v>4</v>
      </c>
      <c r="Q75" s="23"/>
    </row>
    <row r="76" spans="1:17" ht="12.95" customHeight="1" x14ac:dyDescent="0.2">
      <c r="A76" s="223"/>
      <c r="B76" s="223"/>
      <c r="C76" s="370"/>
      <c r="D76" s="371"/>
      <c r="E76" s="185"/>
      <c r="F76" s="176"/>
      <c r="G76" s="215"/>
      <c r="H76" s="112"/>
      <c r="I76" s="215"/>
      <c r="J76" s="215"/>
      <c r="K76" s="275" t="s">
        <v>23</v>
      </c>
      <c r="L76" s="172" t="s">
        <v>507</v>
      </c>
      <c r="M76" s="288" t="s">
        <v>508</v>
      </c>
      <c r="N76" s="282">
        <v>2</v>
      </c>
      <c r="O76" s="282">
        <v>2</v>
      </c>
      <c r="P76" s="280">
        <v>8</v>
      </c>
      <c r="Q76" s="23"/>
    </row>
    <row r="77" spans="1:17" ht="12.95" customHeight="1" x14ac:dyDescent="0.2">
      <c r="A77" s="223"/>
      <c r="B77" s="223"/>
      <c r="C77" s="370"/>
      <c r="D77" s="371"/>
      <c r="E77" s="185"/>
      <c r="F77" s="176"/>
      <c r="G77" s="215"/>
      <c r="H77" s="112"/>
      <c r="I77" s="215"/>
      <c r="J77" s="215"/>
      <c r="K77" s="275" t="s">
        <v>26</v>
      </c>
      <c r="L77" s="172" t="s">
        <v>509</v>
      </c>
      <c r="M77" s="288" t="s">
        <v>510</v>
      </c>
      <c r="N77" s="282">
        <v>3</v>
      </c>
      <c r="O77" s="282">
        <v>3</v>
      </c>
      <c r="P77" s="280">
        <v>12</v>
      </c>
      <c r="Q77" s="23"/>
    </row>
    <row r="78" spans="1:17" ht="12.95" customHeight="1" x14ac:dyDescent="0.2">
      <c r="A78" s="223"/>
      <c r="B78" s="223"/>
      <c r="C78" s="370"/>
      <c r="D78" s="371"/>
      <c r="E78" s="185"/>
      <c r="F78" s="176"/>
      <c r="G78" s="215"/>
      <c r="H78" s="112"/>
      <c r="I78" s="215"/>
      <c r="J78" s="215"/>
      <c r="K78" s="275" t="s">
        <v>29</v>
      </c>
      <c r="L78" s="172" t="s">
        <v>511</v>
      </c>
      <c r="M78" s="288" t="s">
        <v>512</v>
      </c>
      <c r="N78" s="282">
        <v>1</v>
      </c>
      <c r="O78" s="282">
        <v>1</v>
      </c>
      <c r="P78" s="280">
        <v>4</v>
      </c>
      <c r="Q78" s="23"/>
    </row>
    <row r="79" spans="1:17" ht="12.95" customHeight="1" x14ac:dyDescent="0.2">
      <c r="A79" s="223"/>
      <c r="B79" s="223"/>
      <c r="C79" s="370"/>
      <c r="D79" s="371"/>
      <c r="E79" s="185"/>
      <c r="F79" s="176"/>
      <c r="G79" s="215"/>
      <c r="H79" s="112"/>
      <c r="I79" s="215"/>
      <c r="J79" s="215"/>
      <c r="K79" s="275" t="s">
        <v>32</v>
      </c>
      <c r="L79" s="172" t="s">
        <v>513</v>
      </c>
      <c r="M79" s="288" t="s">
        <v>514</v>
      </c>
      <c r="N79" s="282">
        <v>1</v>
      </c>
      <c r="O79" s="282">
        <v>1</v>
      </c>
      <c r="P79" s="280">
        <v>4</v>
      </c>
      <c r="Q79" s="23"/>
    </row>
    <row r="80" spans="1:17" ht="12.95" customHeight="1" x14ac:dyDescent="0.2">
      <c r="A80" s="223"/>
      <c r="B80" s="223"/>
      <c r="C80" s="370"/>
      <c r="D80" s="371"/>
      <c r="E80" s="185"/>
      <c r="F80" s="176"/>
      <c r="G80" s="215"/>
      <c r="H80" s="112"/>
      <c r="I80" s="215"/>
      <c r="J80" s="215"/>
      <c r="K80" s="275" t="s">
        <v>35</v>
      </c>
      <c r="L80" s="172" t="s">
        <v>515</v>
      </c>
      <c r="M80" s="288" t="s">
        <v>95</v>
      </c>
      <c r="N80" s="282">
        <v>15</v>
      </c>
      <c r="O80" s="282">
        <v>15</v>
      </c>
      <c r="P80" s="280">
        <v>60</v>
      </c>
      <c r="Q80" s="23"/>
    </row>
    <row r="81" spans="1:17" ht="12.95" customHeight="1" x14ac:dyDescent="0.2">
      <c r="A81" s="223"/>
      <c r="B81" s="223"/>
      <c r="C81" s="370"/>
      <c r="D81" s="371"/>
      <c r="E81" s="185"/>
      <c r="F81" s="176"/>
      <c r="G81" s="215"/>
      <c r="H81" s="112"/>
      <c r="I81" s="215"/>
      <c r="J81" s="215"/>
      <c r="K81" s="275" t="s">
        <v>37</v>
      </c>
      <c r="L81" s="172" t="s">
        <v>516</v>
      </c>
      <c r="M81" s="288" t="s">
        <v>338</v>
      </c>
      <c r="N81" s="282">
        <v>6</v>
      </c>
      <c r="O81" s="282">
        <v>6</v>
      </c>
      <c r="P81" s="280">
        <v>24</v>
      </c>
      <c r="Q81" s="23"/>
    </row>
    <row r="82" spans="1:17" ht="12.95" customHeight="1" x14ac:dyDescent="0.2">
      <c r="A82" s="223"/>
      <c r="B82" s="223"/>
      <c r="C82" s="370"/>
      <c r="D82" s="371"/>
      <c r="E82" s="185"/>
      <c r="F82" s="176"/>
      <c r="G82" s="215"/>
      <c r="H82" s="112"/>
      <c r="I82" s="215"/>
      <c r="J82" s="215"/>
      <c r="K82" s="275" t="s">
        <v>40</v>
      </c>
      <c r="L82" s="172" t="s">
        <v>517</v>
      </c>
      <c r="M82" s="288" t="s">
        <v>42</v>
      </c>
      <c r="N82" s="282">
        <v>15</v>
      </c>
      <c r="O82" s="282">
        <v>15</v>
      </c>
      <c r="P82" s="280">
        <v>60</v>
      </c>
      <c r="Q82" s="23"/>
    </row>
    <row r="83" spans="1:17" ht="12.95" customHeight="1" x14ac:dyDescent="0.2">
      <c r="A83" s="223"/>
      <c r="B83" s="223"/>
      <c r="C83" s="370"/>
      <c r="D83" s="371"/>
      <c r="E83" s="185"/>
      <c r="F83" s="176"/>
      <c r="G83" s="215"/>
      <c r="H83" s="112"/>
      <c r="I83" s="215"/>
      <c r="J83" s="215"/>
      <c r="K83" s="275" t="s">
        <v>51</v>
      </c>
      <c r="L83" s="172" t="s">
        <v>518</v>
      </c>
      <c r="M83" s="288" t="s">
        <v>80</v>
      </c>
      <c r="N83" s="282">
        <v>6</v>
      </c>
      <c r="O83" s="282">
        <v>6</v>
      </c>
      <c r="P83" s="280">
        <v>24</v>
      </c>
      <c r="Q83" s="23"/>
    </row>
    <row r="84" spans="1:17" ht="12.95" customHeight="1" x14ac:dyDescent="0.2">
      <c r="A84" s="223"/>
      <c r="B84" s="223"/>
      <c r="C84" s="370"/>
      <c r="D84" s="371"/>
      <c r="E84" s="185"/>
      <c r="F84" s="176"/>
      <c r="G84" s="215"/>
      <c r="H84" s="112"/>
      <c r="I84" s="215"/>
      <c r="J84" s="215"/>
      <c r="K84" s="275" t="s">
        <v>52</v>
      </c>
      <c r="L84" s="172" t="s">
        <v>519</v>
      </c>
      <c r="M84" s="288" t="s">
        <v>520</v>
      </c>
      <c r="N84" s="282">
        <v>15</v>
      </c>
      <c r="O84" s="282">
        <v>15</v>
      </c>
      <c r="P84" s="280">
        <v>60</v>
      </c>
      <c r="Q84" s="23"/>
    </row>
    <row r="85" spans="1:17" ht="12.95" customHeight="1" x14ac:dyDescent="0.2">
      <c r="A85" s="223"/>
      <c r="B85" s="223"/>
      <c r="C85" s="370"/>
      <c r="D85" s="371"/>
      <c r="E85" s="185"/>
      <c r="F85" s="176"/>
      <c r="G85" s="215"/>
      <c r="H85" s="112"/>
      <c r="I85" s="215"/>
      <c r="J85" s="215"/>
      <c r="K85" s="275" t="s">
        <v>58</v>
      </c>
      <c r="L85" s="172" t="s">
        <v>521</v>
      </c>
      <c r="M85" s="288" t="s">
        <v>678</v>
      </c>
      <c r="N85" s="282">
        <v>1</v>
      </c>
      <c r="O85" s="282">
        <v>1</v>
      </c>
      <c r="P85" s="282">
        <v>4</v>
      </c>
      <c r="Q85" s="23"/>
    </row>
    <row r="86" spans="1:17" ht="12.95" customHeight="1" x14ac:dyDescent="0.2">
      <c r="A86" s="223"/>
      <c r="B86" s="223"/>
      <c r="C86" s="370"/>
      <c r="D86" s="371"/>
      <c r="E86" s="185"/>
      <c r="F86" s="176"/>
      <c r="G86" s="215"/>
      <c r="H86" s="112"/>
      <c r="I86" s="215"/>
      <c r="J86" s="215"/>
      <c r="K86" s="275" t="s">
        <v>64</v>
      </c>
      <c r="L86" s="172" t="s">
        <v>522</v>
      </c>
      <c r="M86" s="288" t="s">
        <v>523</v>
      </c>
      <c r="N86" s="282">
        <v>1</v>
      </c>
      <c r="O86" s="282">
        <v>1</v>
      </c>
      <c r="P86" s="282">
        <v>4</v>
      </c>
      <c r="Q86" s="23"/>
    </row>
    <row r="87" spans="1:17" ht="12.95" customHeight="1" x14ac:dyDescent="0.2">
      <c r="A87" s="223"/>
      <c r="B87" s="223"/>
      <c r="C87" s="370"/>
      <c r="D87" s="371"/>
      <c r="E87" s="185"/>
      <c r="F87" s="176"/>
      <c r="G87" s="215"/>
      <c r="H87" s="112"/>
      <c r="I87" s="215"/>
      <c r="J87" s="215"/>
      <c r="K87" s="275" t="s">
        <v>65</v>
      </c>
      <c r="L87" s="172" t="s">
        <v>524</v>
      </c>
      <c r="M87" s="288" t="s">
        <v>347</v>
      </c>
      <c r="N87" s="282">
        <v>4</v>
      </c>
      <c r="O87" s="282">
        <v>4</v>
      </c>
      <c r="P87" s="282">
        <v>16</v>
      </c>
      <c r="Q87" s="23"/>
    </row>
    <row r="88" spans="1:17" ht="12.95" customHeight="1" x14ac:dyDescent="0.2">
      <c r="A88" s="223"/>
      <c r="B88" s="223"/>
      <c r="C88" s="370"/>
      <c r="D88" s="371"/>
      <c r="E88" s="185"/>
      <c r="F88" s="176"/>
      <c r="G88" s="215"/>
      <c r="H88" s="112"/>
      <c r="I88" s="215"/>
      <c r="J88" s="215"/>
      <c r="K88" s="275" t="s">
        <v>66</v>
      </c>
      <c r="L88" s="172" t="s">
        <v>525</v>
      </c>
      <c r="M88" s="288" t="s">
        <v>70</v>
      </c>
      <c r="N88" s="282">
        <v>4</v>
      </c>
      <c r="O88" s="282">
        <v>4</v>
      </c>
      <c r="P88" s="282">
        <v>16</v>
      </c>
      <c r="Q88" s="23"/>
    </row>
    <row r="89" spans="1:17" ht="12.95" customHeight="1" x14ac:dyDescent="0.2">
      <c r="A89" s="223"/>
      <c r="B89" s="223"/>
      <c r="C89" s="370"/>
      <c r="D89" s="371"/>
      <c r="E89" s="185"/>
      <c r="F89" s="176"/>
      <c r="G89" s="215"/>
      <c r="H89" s="112"/>
      <c r="I89" s="215"/>
      <c r="J89" s="215"/>
      <c r="K89" s="275" t="s">
        <v>67</v>
      </c>
      <c r="L89" s="172" t="s">
        <v>526</v>
      </c>
      <c r="M89" s="288" t="s">
        <v>527</v>
      </c>
      <c r="N89" s="282">
        <v>1</v>
      </c>
      <c r="O89" s="282">
        <v>1</v>
      </c>
      <c r="P89" s="282">
        <v>4</v>
      </c>
      <c r="Q89" s="23"/>
    </row>
    <row r="90" spans="1:17" ht="12.95" customHeight="1" thickBot="1" x14ac:dyDescent="0.3">
      <c r="A90" s="223"/>
      <c r="B90" s="223"/>
      <c r="C90" s="370"/>
      <c r="D90" s="371"/>
      <c r="E90" s="185"/>
      <c r="F90" s="176"/>
      <c r="G90" s="216"/>
      <c r="H90" s="120"/>
      <c r="I90" s="216"/>
      <c r="J90" s="216"/>
      <c r="K90" s="309" t="s">
        <v>68</v>
      </c>
      <c r="L90" s="374" t="s">
        <v>528</v>
      </c>
      <c r="M90" s="375" t="s">
        <v>529</v>
      </c>
      <c r="N90" s="304">
        <v>1</v>
      </c>
      <c r="O90" s="304">
        <v>1</v>
      </c>
      <c r="P90" s="304">
        <v>4</v>
      </c>
      <c r="Q90" s="355"/>
    </row>
    <row r="91" spans="1:17" ht="12.95" customHeight="1" x14ac:dyDescent="0.25">
      <c r="A91" s="223"/>
      <c r="B91" s="223"/>
      <c r="C91" s="370"/>
      <c r="D91" s="371"/>
      <c r="E91" s="185"/>
      <c r="F91" s="176"/>
      <c r="G91" s="365" t="s">
        <v>292</v>
      </c>
      <c r="H91" s="250" t="s">
        <v>530</v>
      </c>
      <c r="I91" s="365">
        <v>1</v>
      </c>
      <c r="J91" s="365" t="s">
        <v>26</v>
      </c>
      <c r="K91" s="343" t="s">
        <v>69</v>
      </c>
      <c r="L91" s="376" t="s">
        <v>531</v>
      </c>
      <c r="M91" s="377" t="s">
        <v>532</v>
      </c>
      <c r="N91" s="356">
        <v>1</v>
      </c>
      <c r="O91" s="356">
        <v>1</v>
      </c>
      <c r="P91" s="357">
        <v>4</v>
      </c>
      <c r="Q91" s="358"/>
    </row>
    <row r="92" spans="1:17" ht="12.95" customHeight="1" thickBot="1" x14ac:dyDescent="0.3">
      <c r="A92" s="223"/>
      <c r="B92" s="223"/>
      <c r="C92" s="370"/>
      <c r="D92" s="371"/>
      <c r="E92" s="185"/>
      <c r="F92" s="176"/>
      <c r="G92" s="216"/>
      <c r="H92" s="251"/>
      <c r="I92" s="216"/>
      <c r="J92" s="216"/>
      <c r="K92" s="309" t="s">
        <v>72</v>
      </c>
      <c r="L92" s="374" t="s">
        <v>533</v>
      </c>
      <c r="M92" s="378" t="s">
        <v>534</v>
      </c>
      <c r="N92" s="304">
        <v>1</v>
      </c>
      <c r="O92" s="304">
        <v>1</v>
      </c>
      <c r="P92" s="305">
        <v>4</v>
      </c>
      <c r="Q92" s="355"/>
    </row>
    <row r="93" spans="1:17" ht="12.95" customHeight="1" thickBot="1" x14ac:dyDescent="0.3">
      <c r="A93" s="223"/>
      <c r="B93" s="223"/>
      <c r="C93" s="370"/>
      <c r="D93" s="371"/>
      <c r="E93" s="185"/>
      <c r="F93" s="176"/>
      <c r="G93" s="366" t="s">
        <v>44</v>
      </c>
      <c r="H93" s="252" t="s">
        <v>44</v>
      </c>
      <c r="I93" s="366" t="s">
        <v>44</v>
      </c>
      <c r="J93" s="366" t="s">
        <v>44</v>
      </c>
      <c r="K93" s="367" t="s">
        <v>73</v>
      </c>
      <c r="L93" s="379" t="s">
        <v>535</v>
      </c>
      <c r="M93" s="380" t="s">
        <v>536</v>
      </c>
      <c r="N93" s="359">
        <v>1</v>
      </c>
      <c r="O93" s="359">
        <v>1</v>
      </c>
      <c r="P93" s="360">
        <v>4</v>
      </c>
      <c r="Q93" s="361"/>
    </row>
    <row r="94" spans="1:17" ht="12.95" customHeight="1" x14ac:dyDescent="0.25">
      <c r="A94" s="223"/>
      <c r="B94" s="223"/>
      <c r="C94" s="370"/>
      <c r="D94" s="371"/>
      <c r="E94" s="185"/>
      <c r="F94" s="176"/>
      <c r="G94" s="224" t="s">
        <v>282</v>
      </c>
      <c r="H94" s="124" t="s">
        <v>330</v>
      </c>
      <c r="I94" s="224">
        <v>1</v>
      </c>
      <c r="J94" s="224" t="s">
        <v>26</v>
      </c>
      <c r="K94" s="310" t="s">
        <v>74</v>
      </c>
      <c r="L94" s="381" t="s">
        <v>537</v>
      </c>
      <c r="M94" s="382" t="s">
        <v>377</v>
      </c>
      <c r="N94" s="306">
        <v>6</v>
      </c>
      <c r="O94" s="306">
        <v>6</v>
      </c>
      <c r="P94" s="363">
        <v>24</v>
      </c>
      <c r="Q94" s="364"/>
    </row>
    <row r="95" spans="1:17" ht="12.95" customHeight="1" x14ac:dyDescent="0.25">
      <c r="A95" s="224"/>
      <c r="B95" s="224"/>
      <c r="C95" s="372"/>
      <c r="D95" s="373"/>
      <c r="E95" s="186"/>
      <c r="F95" s="182"/>
      <c r="G95" s="215"/>
      <c r="H95" s="112"/>
      <c r="I95" s="215"/>
      <c r="J95" s="215"/>
      <c r="K95" s="275" t="s">
        <v>75</v>
      </c>
      <c r="L95" s="172" t="s">
        <v>79</v>
      </c>
      <c r="M95" s="288" t="s">
        <v>378</v>
      </c>
      <c r="N95" s="282">
        <v>6</v>
      </c>
      <c r="O95" s="282">
        <v>6</v>
      </c>
      <c r="P95" s="280">
        <v>24</v>
      </c>
      <c r="Q95" s="285"/>
    </row>
    <row r="106" spans="1:17" ht="8.25" customHeight="1" x14ac:dyDescent="0.2"/>
    <row r="107" spans="1:17" ht="19.5" x14ac:dyDescent="0.2">
      <c r="A107" s="49" t="s">
        <v>0</v>
      </c>
      <c r="B107" s="50"/>
      <c r="C107" s="11"/>
      <c r="D107" s="12"/>
      <c r="E107" s="12" t="s">
        <v>14</v>
      </c>
      <c r="F107" s="13"/>
      <c r="G107" s="12"/>
      <c r="H107" s="12" t="s">
        <v>13</v>
      </c>
      <c r="I107" s="12"/>
      <c r="J107" s="13"/>
      <c r="K107" s="11"/>
      <c r="L107" s="12"/>
      <c r="M107" s="45" t="s">
        <v>1</v>
      </c>
      <c r="N107" s="12"/>
      <c r="O107" s="12"/>
      <c r="P107" s="12"/>
      <c r="Q107" s="17" t="s">
        <v>15</v>
      </c>
    </row>
    <row r="108" spans="1:17" ht="45" x14ac:dyDescent="0.2">
      <c r="A108" s="29" t="s">
        <v>2</v>
      </c>
      <c r="B108" s="30" t="s">
        <v>3</v>
      </c>
      <c r="C108" s="30" t="s">
        <v>4</v>
      </c>
      <c r="D108" s="31" t="s">
        <v>5</v>
      </c>
      <c r="E108" s="30" t="s">
        <v>6</v>
      </c>
      <c r="F108" s="30" t="s">
        <v>3</v>
      </c>
      <c r="G108" s="30" t="s">
        <v>10</v>
      </c>
      <c r="H108" s="30" t="s">
        <v>5</v>
      </c>
      <c r="I108" s="30" t="s">
        <v>12</v>
      </c>
      <c r="J108" s="30" t="s">
        <v>11</v>
      </c>
      <c r="K108" s="32" t="s">
        <v>7</v>
      </c>
      <c r="L108" s="31" t="s">
        <v>5</v>
      </c>
      <c r="M108" s="31" t="s">
        <v>9</v>
      </c>
      <c r="N108" s="30" t="s">
        <v>8</v>
      </c>
      <c r="O108" s="30" t="s">
        <v>6</v>
      </c>
      <c r="P108" s="30" t="s">
        <v>3</v>
      </c>
      <c r="Q108" s="31" t="s">
        <v>16</v>
      </c>
    </row>
    <row r="109" spans="1:17" ht="15" x14ac:dyDescent="0.25">
      <c r="A109" s="392" t="s">
        <v>329</v>
      </c>
      <c r="B109" s="392" t="s">
        <v>21</v>
      </c>
      <c r="C109" s="392" t="s">
        <v>282</v>
      </c>
      <c r="D109" s="395" t="s">
        <v>538</v>
      </c>
      <c r="E109" s="392" t="s">
        <v>19</v>
      </c>
      <c r="F109" s="392" t="s">
        <v>21</v>
      </c>
      <c r="G109" s="387" t="s">
        <v>44</v>
      </c>
      <c r="H109" s="253" t="s">
        <v>44</v>
      </c>
      <c r="I109" s="387" t="s">
        <v>44</v>
      </c>
      <c r="J109" s="387" t="s">
        <v>44</v>
      </c>
      <c r="K109" s="310" t="s">
        <v>19</v>
      </c>
      <c r="L109" s="145" t="s">
        <v>539</v>
      </c>
      <c r="M109" s="383" t="s">
        <v>540</v>
      </c>
      <c r="N109" s="337">
        <v>3</v>
      </c>
      <c r="O109" s="337">
        <v>3</v>
      </c>
      <c r="P109" s="384">
        <f>O109*B$109</f>
        <v>6</v>
      </c>
      <c r="Q109" s="285"/>
    </row>
    <row r="110" spans="1:17" ht="15" x14ac:dyDescent="0.25">
      <c r="A110" s="393"/>
      <c r="B110" s="393"/>
      <c r="C110" s="393"/>
      <c r="D110" s="396"/>
      <c r="E110" s="393"/>
      <c r="F110" s="393"/>
      <c r="G110" s="174" t="s">
        <v>283</v>
      </c>
      <c r="H110" s="67" t="s">
        <v>541</v>
      </c>
      <c r="I110" s="174" t="s">
        <v>23</v>
      </c>
      <c r="J110" s="174" t="s">
        <v>32</v>
      </c>
      <c r="K110" s="275" t="s">
        <v>21</v>
      </c>
      <c r="L110" s="150" t="s">
        <v>542</v>
      </c>
      <c r="M110" s="362" t="s">
        <v>543</v>
      </c>
      <c r="N110" s="337">
        <v>3</v>
      </c>
      <c r="O110" s="337">
        <v>3</v>
      </c>
      <c r="P110" s="384">
        <f t="shared" ref="P110:P123" si="2">O110*B$109</f>
        <v>6</v>
      </c>
      <c r="Q110" s="285"/>
    </row>
    <row r="111" spans="1:17" ht="15" x14ac:dyDescent="0.25">
      <c r="A111" s="393"/>
      <c r="B111" s="393"/>
      <c r="C111" s="393"/>
      <c r="D111" s="396"/>
      <c r="E111" s="393"/>
      <c r="F111" s="393"/>
      <c r="G111" s="176"/>
      <c r="H111" s="72"/>
      <c r="I111" s="176"/>
      <c r="J111" s="176"/>
      <c r="K111" s="275" t="s">
        <v>23</v>
      </c>
      <c r="L111" s="150" t="s">
        <v>544</v>
      </c>
      <c r="M111" s="383" t="s">
        <v>44</v>
      </c>
      <c r="N111" s="337">
        <v>3</v>
      </c>
      <c r="O111" s="337">
        <v>3</v>
      </c>
      <c r="P111" s="384">
        <f t="shared" si="2"/>
        <v>6</v>
      </c>
      <c r="Q111" s="285"/>
    </row>
    <row r="112" spans="1:17" ht="15" x14ac:dyDescent="0.25">
      <c r="A112" s="393"/>
      <c r="B112" s="393"/>
      <c r="C112" s="393"/>
      <c r="D112" s="396"/>
      <c r="E112" s="393"/>
      <c r="F112" s="393"/>
      <c r="G112" s="176"/>
      <c r="H112" s="72"/>
      <c r="I112" s="176"/>
      <c r="J112" s="176"/>
      <c r="K112" s="310" t="s">
        <v>26</v>
      </c>
      <c r="L112" s="150" t="s">
        <v>545</v>
      </c>
      <c r="M112" s="383" t="s">
        <v>546</v>
      </c>
      <c r="N112" s="337">
        <v>3</v>
      </c>
      <c r="O112" s="337">
        <v>3</v>
      </c>
      <c r="P112" s="384">
        <f t="shared" si="2"/>
        <v>6</v>
      </c>
      <c r="Q112" s="285"/>
    </row>
    <row r="113" spans="1:17" ht="15" x14ac:dyDescent="0.25">
      <c r="A113" s="393"/>
      <c r="B113" s="393"/>
      <c r="C113" s="393"/>
      <c r="D113" s="396"/>
      <c r="E113" s="393"/>
      <c r="F113" s="393"/>
      <c r="G113" s="176"/>
      <c r="H113" s="72"/>
      <c r="I113" s="176"/>
      <c r="J113" s="176"/>
      <c r="K113" s="275" t="s">
        <v>29</v>
      </c>
      <c r="L113" s="150" t="s">
        <v>547</v>
      </c>
      <c r="M113" s="383" t="s">
        <v>548</v>
      </c>
      <c r="N113" s="337">
        <v>3</v>
      </c>
      <c r="O113" s="337">
        <v>3</v>
      </c>
      <c r="P113" s="384">
        <f t="shared" si="2"/>
        <v>6</v>
      </c>
      <c r="Q113" s="285"/>
    </row>
    <row r="114" spans="1:17" ht="15" x14ac:dyDescent="0.25">
      <c r="A114" s="393"/>
      <c r="B114" s="393"/>
      <c r="C114" s="393"/>
      <c r="D114" s="396"/>
      <c r="E114" s="393"/>
      <c r="F114" s="393"/>
      <c r="G114" s="176"/>
      <c r="H114" s="72"/>
      <c r="I114" s="176"/>
      <c r="J114" s="176"/>
      <c r="K114" s="275" t="s">
        <v>32</v>
      </c>
      <c r="L114" s="150" t="s">
        <v>549</v>
      </c>
      <c r="M114" s="383" t="s">
        <v>550</v>
      </c>
      <c r="N114" s="337">
        <v>3</v>
      </c>
      <c r="O114" s="337">
        <v>3</v>
      </c>
      <c r="P114" s="384">
        <f t="shared" si="2"/>
        <v>6</v>
      </c>
      <c r="Q114" s="285"/>
    </row>
    <row r="115" spans="1:17" ht="15" x14ac:dyDescent="0.25">
      <c r="A115" s="393"/>
      <c r="B115" s="393"/>
      <c r="C115" s="393"/>
      <c r="D115" s="396"/>
      <c r="E115" s="393"/>
      <c r="F115" s="393"/>
      <c r="G115" s="176"/>
      <c r="H115" s="72"/>
      <c r="I115" s="176"/>
      <c r="J115" s="176"/>
      <c r="K115" s="310" t="s">
        <v>35</v>
      </c>
      <c r="L115" s="150" t="s">
        <v>551</v>
      </c>
      <c r="M115" s="385" t="s">
        <v>353</v>
      </c>
      <c r="N115" s="337">
        <v>6</v>
      </c>
      <c r="O115" s="337">
        <v>6</v>
      </c>
      <c r="P115" s="384">
        <f t="shared" si="2"/>
        <v>12</v>
      </c>
      <c r="Q115" s="285"/>
    </row>
    <row r="116" spans="1:17" ht="15" x14ac:dyDescent="0.25">
      <c r="A116" s="393"/>
      <c r="B116" s="393"/>
      <c r="C116" s="393"/>
      <c r="D116" s="396"/>
      <c r="E116" s="393"/>
      <c r="F116" s="393"/>
      <c r="G116" s="182"/>
      <c r="H116" s="94"/>
      <c r="I116" s="182"/>
      <c r="J116" s="182"/>
      <c r="K116" s="275" t="s">
        <v>37</v>
      </c>
      <c r="L116" s="150" t="s">
        <v>552</v>
      </c>
      <c r="M116" s="385" t="s">
        <v>444</v>
      </c>
      <c r="N116" s="337">
        <v>6</v>
      </c>
      <c r="O116" s="337">
        <v>6</v>
      </c>
      <c r="P116" s="384">
        <f t="shared" si="2"/>
        <v>12</v>
      </c>
      <c r="Q116" s="285"/>
    </row>
    <row r="117" spans="1:17" ht="15" x14ac:dyDescent="0.25">
      <c r="A117" s="393"/>
      <c r="B117" s="393"/>
      <c r="C117" s="393"/>
      <c r="D117" s="396"/>
      <c r="E117" s="393"/>
      <c r="F117" s="393"/>
      <c r="G117" s="184" t="s">
        <v>292</v>
      </c>
      <c r="H117" s="68" t="s">
        <v>553</v>
      </c>
      <c r="I117" s="184" t="s">
        <v>23</v>
      </c>
      <c r="J117" s="184" t="s">
        <v>32</v>
      </c>
      <c r="K117" s="275" t="s">
        <v>40</v>
      </c>
      <c r="L117" s="150" t="s">
        <v>554</v>
      </c>
      <c r="M117" s="362" t="s">
        <v>555</v>
      </c>
      <c r="N117" s="337">
        <v>3</v>
      </c>
      <c r="O117" s="337">
        <v>3</v>
      </c>
      <c r="P117" s="384">
        <f t="shared" si="2"/>
        <v>6</v>
      </c>
      <c r="Q117" s="285"/>
    </row>
    <row r="118" spans="1:17" ht="15" x14ac:dyDescent="0.25">
      <c r="A118" s="393"/>
      <c r="B118" s="393"/>
      <c r="C118" s="393"/>
      <c r="D118" s="396"/>
      <c r="E118" s="393"/>
      <c r="F118" s="393"/>
      <c r="G118" s="186"/>
      <c r="H118" s="95"/>
      <c r="I118" s="186"/>
      <c r="J118" s="186"/>
      <c r="K118" s="310" t="s">
        <v>51</v>
      </c>
      <c r="L118" s="254" t="s">
        <v>556</v>
      </c>
      <c r="M118" s="325" t="s">
        <v>540</v>
      </c>
      <c r="N118" s="284">
        <v>3</v>
      </c>
      <c r="O118" s="284">
        <v>3</v>
      </c>
      <c r="P118" s="384">
        <f t="shared" si="2"/>
        <v>6</v>
      </c>
      <c r="Q118" s="285"/>
    </row>
    <row r="119" spans="1:17" ht="15" x14ac:dyDescent="0.25">
      <c r="A119" s="393"/>
      <c r="B119" s="393"/>
      <c r="C119" s="393"/>
      <c r="D119" s="396"/>
      <c r="E119" s="393"/>
      <c r="F119" s="393"/>
      <c r="G119" s="388" t="s">
        <v>44</v>
      </c>
      <c r="H119" s="255" t="s">
        <v>44</v>
      </c>
      <c r="I119" s="388" t="s">
        <v>44</v>
      </c>
      <c r="J119" s="388" t="s">
        <v>44</v>
      </c>
      <c r="K119" s="275" t="s">
        <v>52</v>
      </c>
      <c r="L119" s="150" t="s">
        <v>557</v>
      </c>
      <c r="M119" s="281" t="s">
        <v>558</v>
      </c>
      <c r="N119" s="284">
        <v>3</v>
      </c>
      <c r="O119" s="284">
        <v>3</v>
      </c>
      <c r="P119" s="384">
        <f t="shared" si="2"/>
        <v>6</v>
      </c>
      <c r="Q119" s="285"/>
    </row>
    <row r="120" spans="1:17" ht="15" x14ac:dyDescent="0.25">
      <c r="A120" s="393"/>
      <c r="B120" s="393"/>
      <c r="C120" s="393"/>
      <c r="D120" s="396"/>
      <c r="E120" s="393"/>
      <c r="F120" s="393"/>
      <c r="G120" s="388" t="s">
        <v>44</v>
      </c>
      <c r="H120" s="255" t="s">
        <v>44</v>
      </c>
      <c r="I120" s="388" t="s">
        <v>44</v>
      </c>
      <c r="J120" s="388" t="s">
        <v>44</v>
      </c>
      <c r="K120" s="310" t="s">
        <v>57</v>
      </c>
      <c r="L120" s="150" t="s">
        <v>559</v>
      </c>
      <c r="M120" s="362" t="s">
        <v>560</v>
      </c>
      <c r="N120" s="284">
        <v>6</v>
      </c>
      <c r="O120" s="284">
        <v>6</v>
      </c>
      <c r="P120" s="384">
        <f t="shared" si="2"/>
        <v>12</v>
      </c>
      <c r="Q120" s="285"/>
    </row>
    <row r="121" spans="1:17" ht="27" x14ac:dyDescent="0.25">
      <c r="A121" s="393"/>
      <c r="B121" s="393"/>
      <c r="C121" s="393"/>
      <c r="D121" s="396"/>
      <c r="E121" s="393"/>
      <c r="F121" s="393"/>
      <c r="G121" s="389" t="s">
        <v>282</v>
      </c>
      <c r="H121" s="256" t="s">
        <v>561</v>
      </c>
      <c r="I121" s="389" t="s">
        <v>19</v>
      </c>
      <c r="J121" s="389" t="s">
        <v>32</v>
      </c>
      <c r="K121" s="275" t="s">
        <v>58</v>
      </c>
      <c r="L121" s="257" t="s">
        <v>562</v>
      </c>
      <c r="M121" s="386" t="s">
        <v>563</v>
      </c>
      <c r="N121" s="284">
        <v>3</v>
      </c>
      <c r="O121" s="284">
        <v>3</v>
      </c>
      <c r="P121" s="384">
        <f t="shared" si="2"/>
        <v>6</v>
      </c>
      <c r="Q121" s="285"/>
    </row>
    <row r="122" spans="1:17" ht="15" x14ac:dyDescent="0.25">
      <c r="A122" s="393"/>
      <c r="B122" s="393"/>
      <c r="C122" s="393"/>
      <c r="D122" s="396"/>
      <c r="E122" s="393"/>
      <c r="F122" s="393"/>
      <c r="G122" s="390"/>
      <c r="H122" s="258"/>
      <c r="I122" s="390"/>
      <c r="J122" s="390"/>
      <c r="K122" s="275" t="s">
        <v>64</v>
      </c>
      <c r="L122" s="259" t="s">
        <v>564</v>
      </c>
      <c r="M122" s="362" t="s">
        <v>565</v>
      </c>
      <c r="N122" s="284">
        <v>3</v>
      </c>
      <c r="O122" s="284">
        <v>3</v>
      </c>
      <c r="P122" s="384">
        <f t="shared" si="2"/>
        <v>6</v>
      </c>
      <c r="Q122" s="285"/>
    </row>
    <row r="123" spans="1:17" ht="15" x14ac:dyDescent="0.25">
      <c r="A123" s="394"/>
      <c r="B123" s="394"/>
      <c r="C123" s="394"/>
      <c r="D123" s="397"/>
      <c r="E123" s="394"/>
      <c r="F123" s="394"/>
      <c r="G123" s="391"/>
      <c r="H123" s="260"/>
      <c r="I123" s="391"/>
      <c r="J123" s="391"/>
      <c r="K123" s="310" t="s">
        <v>65</v>
      </c>
      <c r="L123" s="259" t="s">
        <v>566</v>
      </c>
      <c r="M123" s="386" t="s">
        <v>567</v>
      </c>
      <c r="N123" s="284">
        <v>3</v>
      </c>
      <c r="O123" s="284">
        <v>3</v>
      </c>
      <c r="P123" s="384">
        <f t="shared" si="2"/>
        <v>6</v>
      </c>
      <c r="Q123" s="285"/>
    </row>
  </sheetData>
  <mergeCells count="64">
    <mergeCell ref="G121:G123"/>
    <mergeCell ref="H121:H123"/>
    <mergeCell ref="I121:I123"/>
    <mergeCell ref="J121:J123"/>
    <mergeCell ref="G110:G116"/>
    <mergeCell ref="H110:H116"/>
    <mergeCell ref="I110:I116"/>
    <mergeCell ref="J110:J116"/>
    <mergeCell ref="G117:G118"/>
    <mergeCell ref="H117:H118"/>
    <mergeCell ref="I117:I118"/>
    <mergeCell ref="J117:J118"/>
    <mergeCell ref="H94:H95"/>
    <mergeCell ref="I94:I95"/>
    <mergeCell ref="J94:J95"/>
    <mergeCell ref="A107:B107"/>
    <mergeCell ref="A109:A123"/>
    <mergeCell ref="B109:B123"/>
    <mergeCell ref="C109:C123"/>
    <mergeCell ref="D109:D123"/>
    <mergeCell ref="E109:E123"/>
    <mergeCell ref="F109:F123"/>
    <mergeCell ref="F74:F95"/>
    <mergeCell ref="G74:G90"/>
    <mergeCell ref="H74:H90"/>
    <mergeCell ref="I74:I90"/>
    <mergeCell ref="J74:J90"/>
    <mergeCell ref="G91:G92"/>
    <mergeCell ref="H91:H92"/>
    <mergeCell ref="I91:I92"/>
    <mergeCell ref="J91:J92"/>
    <mergeCell ref="G94:G95"/>
    <mergeCell ref="A72:B72"/>
    <mergeCell ref="A74:A95"/>
    <mergeCell ref="B74:B95"/>
    <mergeCell ref="C74:C95"/>
    <mergeCell ref="D74:D95"/>
    <mergeCell ref="E74:E95"/>
    <mergeCell ref="G41:G43"/>
    <mergeCell ref="H41:H43"/>
    <mergeCell ref="I41:I43"/>
    <mergeCell ref="J41:J43"/>
    <mergeCell ref="G44:G45"/>
    <mergeCell ref="H44:H45"/>
    <mergeCell ref="I44:I45"/>
    <mergeCell ref="J44:J45"/>
    <mergeCell ref="A41:A48"/>
    <mergeCell ref="B41:B48"/>
    <mergeCell ref="C41:C48"/>
    <mergeCell ref="D41:D48"/>
    <mergeCell ref="E41:E48"/>
    <mergeCell ref="F41:F48"/>
    <mergeCell ref="F8:F19"/>
    <mergeCell ref="G8:G19"/>
    <mergeCell ref="H8:H19"/>
    <mergeCell ref="I8:I19"/>
    <mergeCell ref="J8:J19"/>
    <mergeCell ref="A39:B39"/>
    <mergeCell ref="A6:B6"/>
    <mergeCell ref="A8:A19"/>
    <mergeCell ref="B8:B19"/>
    <mergeCell ref="C8:C19"/>
    <mergeCell ref="D8:D19"/>
    <mergeCell ref="E8:E1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S17"/>
  <sheetViews>
    <sheetView view="pageLayout" zoomScale="145" zoomScaleNormal="100" zoomScalePageLayoutView="145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49" t="s">
        <v>0</v>
      </c>
      <c r="B6" s="50"/>
      <c r="C6" s="50" t="s">
        <v>14</v>
      </c>
      <c r="D6" s="56"/>
      <c r="E6" s="56"/>
      <c r="F6" s="57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184</v>
      </c>
      <c r="E8" s="7"/>
      <c r="F8" s="8"/>
      <c r="G8" s="54"/>
      <c r="H8" s="55" t="s">
        <v>185</v>
      </c>
      <c r="I8" s="54">
        <v>1</v>
      </c>
      <c r="J8" s="54">
        <v>2</v>
      </c>
      <c r="K8" s="25" t="s">
        <v>19</v>
      </c>
      <c r="L8" s="22" t="s">
        <v>173</v>
      </c>
      <c r="M8" s="26" t="s">
        <v>253</v>
      </c>
      <c r="N8" s="24">
        <v>4</v>
      </c>
      <c r="O8" s="24">
        <v>4</v>
      </c>
      <c r="P8" s="23">
        <f>O8*2</f>
        <v>8</v>
      </c>
      <c r="Q8" s="23">
        <v>69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54"/>
      <c r="H9" s="55"/>
      <c r="I9" s="54"/>
      <c r="J9" s="54"/>
      <c r="K9" s="25" t="s">
        <v>21</v>
      </c>
      <c r="L9" s="22" t="s">
        <v>174</v>
      </c>
      <c r="M9" s="33" t="s">
        <v>254</v>
      </c>
      <c r="N9" s="24">
        <v>2</v>
      </c>
      <c r="O9" s="24">
        <v>2</v>
      </c>
      <c r="P9" s="23">
        <f t="shared" ref="P9:P17" si="0">O9*2</f>
        <v>4</v>
      </c>
      <c r="Q9" s="23">
        <v>57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54"/>
      <c r="H10" s="55"/>
      <c r="I10" s="54"/>
      <c r="J10" s="54"/>
      <c r="K10" s="25" t="s">
        <v>23</v>
      </c>
      <c r="L10" s="22" t="s">
        <v>175</v>
      </c>
      <c r="M10" s="33" t="s">
        <v>255</v>
      </c>
      <c r="N10" s="24">
        <v>2</v>
      </c>
      <c r="O10" s="24">
        <v>2</v>
      </c>
      <c r="P10" s="23">
        <f t="shared" si="0"/>
        <v>4</v>
      </c>
      <c r="Q10" s="23">
        <v>70</v>
      </c>
      <c r="R10" s="23" t="s">
        <v>221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54"/>
      <c r="H11" s="55"/>
      <c r="I11" s="54"/>
      <c r="J11" s="54"/>
      <c r="K11" s="25" t="s">
        <v>26</v>
      </c>
      <c r="L11" s="36" t="s">
        <v>176</v>
      </c>
      <c r="M11" s="33" t="s">
        <v>256</v>
      </c>
      <c r="N11" s="33">
        <v>155</v>
      </c>
      <c r="O11" s="33">
        <v>155</v>
      </c>
      <c r="P11" s="23">
        <f t="shared" si="0"/>
        <v>310</v>
      </c>
      <c r="Q11" s="23">
        <v>460</v>
      </c>
      <c r="R11" s="23" t="s">
        <v>221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54"/>
      <c r="H12" s="55"/>
      <c r="I12" s="54"/>
      <c r="J12" s="54"/>
      <c r="K12" s="25" t="s">
        <v>29</v>
      </c>
      <c r="L12" s="40" t="s">
        <v>177</v>
      </c>
      <c r="M12" s="33" t="s">
        <v>257</v>
      </c>
      <c r="N12" s="24">
        <v>2</v>
      </c>
      <c r="O12" s="24">
        <v>2</v>
      </c>
      <c r="P12" s="23">
        <f t="shared" si="0"/>
        <v>4</v>
      </c>
      <c r="Q12" s="23">
        <v>55</v>
      </c>
      <c r="R12" s="23" t="s">
        <v>221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54"/>
      <c r="H13" s="55"/>
      <c r="I13" s="54"/>
      <c r="J13" s="54"/>
      <c r="K13" s="25" t="s">
        <v>32</v>
      </c>
      <c r="L13" s="22" t="s">
        <v>106</v>
      </c>
      <c r="M13" s="33" t="s">
        <v>178</v>
      </c>
      <c r="N13" s="24">
        <v>4</v>
      </c>
      <c r="O13" s="24">
        <v>4</v>
      </c>
      <c r="P13" s="23">
        <f t="shared" si="0"/>
        <v>8</v>
      </c>
      <c r="Q13" s="23">
        <v>1</v>
      </c>
      <c r="R13" s="23" t="s">
        <v>221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54"/>
      <c r="H14" s="55"/>
      <c r="I14" s="54"/>
      <c r="J14" s="54"/>
      <c r="K14" s="25" t="s">
        <v>35</v>
      </c>
      <c r="L14" s="22" t="s">
        <v>179</v>
      </c>
      <c r="M14" s="33" t="s">
        <v>182</v>
      </c>
      <c r="N14" s="24">
        <v>2</v>
      </c>
      <c r="O14" s="24">
        <v>2</v>
      </c>
      <c r="P14" s="23">
        <f t="shared" si="0"/>
        <v>4</v>
      </c>
      <c r="Q14" s="23">
        <v>4</v>
      </c>
      <c r="R14" s="23" t="s">
        <v>222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54"/>
      <c r="H15" s="55"/>
      <c r="I15" s="54"/>
      <c r="J15" s="54"/>
      <c r="K15" s="25" t="s">
        <v>37</v>
      </c>
      <c r="L15" s="43" t="s">
        <v>258</v>
      </c>
      <c r="M15" s="33" t="s">
        <v>182</v>
      </c>
      <c r="N15" s="24">
        <v>2</v>
      </c>
      <c r="O15" s="24">
        <v>2</v>
      </c>
      <c r="P15" s="23">
        <v>4</v>
      </c>
      <c r="Q15" s="23">
        <v>4</v>
      </c>
      <c r="R15" s="23" t="s">
        <v>222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54"/>
      <c r="H16" s="55"/>
      <c r="I16" s="54"/>
      <c r="J16" s="54"/>
      <c r="K16" s="25" t="s">
        <v>40</v>
      </c>
      <c r="L16" s="22" t="s">
        <v>105</v>
      </c>
      <c r="M16" s="24" t="s">
        <v>183</v>
      </c>
      <c r="N16" s="24">
        <v>2</v>
      </c>
      <c r="O16" s="24">
        <v>2</v>
      </c>
      <c r="P16" s="23">
        <f t="shared" si="0"/>
        <v>4</v>
      </c>
      <c r="Q16" s="23">
        <v>1</v>
      </c>
      <c r="R16" s="23" t="s">
        <v>221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39"/>
      <c r="H17" s="27"/>
      <c r="I17" s="39"/>
      <c r="J17" s="39"/>
      <c r="K17" s="25" t="s">
        <v>51</v>
      </c>
      <c r="L17" s="22" t="s">
        <v>180</v>
      </c>
      <c r="M17" s="24" t="s">
        <v>181</v>
      </c>
      <c r="N17" s="24">
        <v>8</v>
      </c>
      <c r="O17" s="24">
        <v>8</v>
      </c>
      <c r="P17" s="23">
        <f t="shared" si="0"/>
        <v>16</v>
      </c>
      <c r="Q17" s="23">
        <v>4</v>
      </c>
      <c r="R17" s="23" t="s">
        <v>221</v>
      </c>
      <c r="S17" s="23" t="s">
        <v>44</v>
      </c>
    </row>
  </sheetData>
  <mergeCells count="6">
    <mergeCell ref="J8:J16"/>
    <mergeCell ref="I8:I16"/>
    <mergeCell ref="H8:H16"/>
    <mergeCell ref="G8:G16"/>
    <mergeCell ref="A6:B6"/>
    <mergeCell ref="C6:F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S19"/>
  <sheetViews>
    <sheetView view="pageLayout" zoomScale="115" zoomScaleNormal="100" zoomScalePageLayoutView="115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167</v>
      </c>
      <c r="E8" s="7"/>
      <c r="F8" s="8"/>
      <c r="G8" s="46"/>
      <c r="H8" s="51" t="s">
        <v>171</v>
      </c>
      <c r="I8" s="46">
        <v>1</v>
      </c>
      <c r="J8" s="46">
        <v>1</v>
      </c>
      <c r="K8" s="25" t="s">
        <v>19</v>
      </c>
      <c r="L8" s="36" t="s">
        <v>151</v>
      </c>
      <c r="M8" s="38" t="s">
        <v>152</v>
      </c>
      <c r="N8" s="33">
        <v>2</v>
      </c>
      <c r="O8" s="33">
        <v>2</v>
      </c>
      <c r="P8" s="33">
        <v>2</v>
      </c>
      <c r="Q8" s="23">
        <v>3.2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8"/>
      <c r="H9" s="53"/>
      <c r="I9" s="48"/>
      <c r="J9" s="48"/>
      <c r="K9" s="25" t="s">
        <v>21</v>
      </c>
      <c r="L9" s="36" t="s">
        <v>153</v>
      </c>
      <c r="M9" s="33" t="s">
        <v>154</v>
      </c>
      <c r="N9" s="33">
        <v>8</v>
      </c>
      <c r="O9" s="33">
        <v>8</v>
      </c>
      <c r="P9" s="33">
        <v>8</v>
      </c>
      <c r="Q9" s="23">
        <v>1.5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6"/>
      <c r="H10" s="51" t="s">
        <v>172</v>
      </c>
      <c r="I10" s="46">
        <v>2</v>
      </c>
      <c r="J10" s="46">
        <v>2</v>
      </c>
      <c r="K10" s="25" t="s">
        <v>23</v>
      </c>
      <c r="L10" s="36" t="s">
        <v>155</v>
      </c>
      <c r="M10" s="33" t="s">
        <v>168</v>
      </c>
      <c r="N10" s="33">
        <v>4</v>
      </c>
      <c r="O10" s="33">
        <v>4</v>
      </c>
      <c r="P10" s="33">
        <v>4</v>
      </c>
      <c r="Q10" s="23">
        <v>1.6</v>
      </c>
      <c r="R10" s="23" t="s">
        <v>221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7"/>
      <c r="H11" s="52"/>
      <c r="I11" s="47"/>
      <c r="J11" s="47"/>
      <c r="K11" s="25" t="s">
        <v>26</v>
      </c>
      <c r="L11" s="36" t="s">
        <v>156</v>
      </c>
      <c r="M11" s="33" t="s">
        <v>157</v>
      </c>
      <c r="N11" s="33">
        <v>4</v>
      </c>
      <c r="O11" s="33">
        <v>4</v>
      </c>
      <c r="P11" s="33">
        <v>4</v>
      </c>
      <c r="Q11" s="23">
        <v>1.1000000000000001</v>
      </c>
      <c r="R11" s="23" t="s">
        <v>221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7"/>
      <c r="H12" s="52"/>
      <c r="I12" s="47"/>
      <c r="J12" s="47"/>
      <c r="K12" s="25" t="s">
        <v>29</v>
      </c>
      <c r="L12" s="37" t="s">
        <v>158</v>
      </c>
      <c r="M12" s="33" t="s">
        <v>169</v>
      </c>
      <c r="N12" s="33">
        <v>4</v>
      </c>
      <c r="O12" s="33">
        <v>4</v>
      </c>
      <c r="P12" s="33">
        <v>4</v>
      </c>
      <c r="Q12" s="23">
        <v>2.2999999999999998</v>
      </c>
      <c r="R12" s="23" t="s">
        <v>221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7"/>
      <c r="H13" s="52"/>
      <c r="I13" s="47"/>
      <c r="J13" s="47"/>
      <c r="K13" s="25" t="s">
        <v>32</v>
      </c>
      <c r="L13" s="36" t="s">
        <v>159</v>
      </c>
      <c r="M13" s="33" t="s">
        <v>160</v>
      </c>
      <c r="N13" s="33">
        <v>4</v>
      </c>
      <c r="O13" s="33">
        <v>4</v>
      </c>
      <c r="P13" s="33">
        <v>4</v>
      </c>
      <c r="Q13" s="23">
        <v>1.6</v>
      </c>
      <c r="R13" s="23" t="s">
        <v>221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7"/>
      <c r="H14" s="52"/>
      <c r="I14" s="47"/>
      <c r="J14" s="47"/>
      <c r="K14" s="25" t="s">
        <v>35</v>
      </c>
      <c r="L14" s="36" t="s">
        <v>161</v>
      </c>
      <c r="M14" s="33" t="s">
        <v>170</v>
      </c>
      <c r="N14" s="33">
        <v>2</v>
      </c>
      <c r="O14" s="33">
        <v>2</v>
      </c>
      <c r="P14" s="33">
        <v>2</v>
      </c>
      <c r="Q14" s="23">
        <v>2</v>
      </c>
      <c r="R14" s="23" t="s">
        <v>221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7"/>
      <c r="H15" s="52"/>
      <c r="I15" s="47"/>
      <c r="J15" s="47"/>
      <c r="K15" s="25" t="s">
        <v>37</v>
      </c>
      <c r="L15" s="36" t="s">
        <v>76</v>
      </c>
      <c r="M15" s="33" t="s">
        <v>162</v>
      </c>
      <c r="N15" s="33">
        <v>2</v>
      </c>
      <c r="O15" s="33">
        <v>2</v>
      </c>
      <c r="P15" s="33">
        <v>2</v>
      </c>
      <c r="Q15" s="23">
        <v>0.19</v>
      </c>
      <c r="R15" s="23" t="s">
        <v>221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47"/>
      <c r="H16" s="52"/>
      <c r="I16" s="47"/>
      <c r="J16" s="47"/>
      <c r="K16" s="25" t="s">
        <v>40</v>
      </c>
      <c r="L16" s="36" t="s">
        <v>163</v>
      </c>
      <c r="M16" s="33" t="s">
        <v>164</v>
      </c>
      <c r="N16" s="33">
        <v>2</v>
      </c>
      <c r="O16" s="33">
        <v>2</v>
      </c>
      <c r="P16" s="33">
        <v>2</v>
      </c>
      <c r="Q16" s="23">
        <v>0.5</v>
      </c>
      <c r="R16" s="23" t="s">
        <v>221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48"/>
      <c r="H17" s="53"/>
      <c r="I17" s="48"/>
      <c r="J17" s="48"/>
      <c r="K17" s="25" t="s">
        <v>51</v>
      </c>
      <c r="L17" s="36" t="s">
        <v>165</v>
      </c>
      <c r="M17" s="33" t="s">
        <v>166</v>
      </c>
      <c r="N17" s="33">
        <v>2</v>
      </c>
      <c r="O17" s="33">
        <v>2</v>
      </c>
      <c r="P17" s="33">
        <v>2</v>
      </c>
      <c r="Q17" s="23">
        <v>0.3</v>
      </c>
      <c r="R17" s="23" t="s">
        <v>221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19"/>
      <c r="H18" s="27"/>
      <c r="I18" s="39"/>
      <c r="J18" s="39"/>
      <c r="K18" s="25" t="s">
        <v>52</v>
      </c>
      <c r="L18" s="36" t="s">
        <v>24</v>
      </c>
      <c r="M18" s="33" t="s">
        <v>25</v>
      </c>
      <c r="N18" s="33">
        <v>6</v>
      </c>
      <c r="O18" s="33">
        <v>6</v>
      </c>
      <c r="P18" s="33">
        <v>6</v>
      </c>
      <c r="Q18" s="23">
        <v>6</v>
      </c>
      <c r="R18" s="23" t="s">
        <v>222</v>
      </c>
      <c r="S18" s="23" t="s">
        <v>44</v>
      </c>
    </row>
    <row r="19" spans="1:19" x14ac:dyDescent="0.2">
      <c r="A19" s="4"/>
      <c r="B19" s="8"/>
      <c r="C19" s="7"/>
      <c r="D19" s="7"/>
      <c r="E19" s="7"/>
      <c r="F19" s="8"/>
      <c r="G19" s="19"/>
      <c r="H19" s="27"/>
      <c r="I19" s="39"/>
      <c r="J19" s="39"/>
      <c r="K19" s="25" t="s">
        <v>53</v>
      </c>
      <c r="L19" s="36" t="s">
        <v>79</v>
      </c>
      <c r="M19" s="33" t="s">
        <v>28</v>
      </c>
      <c r="N19" s="33">
        <v>6</v>
      </c>
      <c r="O19" s="33">
        <v>6</v>
      </c>
      <c r="P19" s="33">
        <v>6</v>
      </c>
      <c r="Q19" s="23">
        <v>6</v>
      </c>
      <c r="R19" s="23" t="s">
        <v>222</v>
      </c>
      <c r="S19" s="23" t="s">
        <v>44</v>
      </c>
    </row>
  </sheetData>
  <mergeCells count="9">
    <mergeCell ref="J10:J17"/>
    <mergeCell ref="I10:I17"/>
    <mergeCell ref="H10:H17"/>
    <mergeCell ref="G10:G17"/>
    <mergeCell ref="A6:B6"/>
    <mergeCell ref="J8:J9"/>
    <mergeCell ref="I8:I9"/>
    <mergeCell ref="H8:H9"/>
    <mergeCell ref="G8:G9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5"/>
  <sheetViews>
    <sheetView view="pageLayout" topLeftCell="A7" zoomScale="130" zoomScaleNormal="100" zoomScalePageLayoutView="130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44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7</v>
      </c>
      <c r="C8" s="9"/>
      <c r="D8" s="35" t="s">
        <v>118</v>
      </c>
      <c r="E8" s="7"/>
      <c r="F8" s="8"/>
      <c r="G8" s="58"/>
      <c r="H8" s="51" t="s">
        <v>226</v>
      </c>
      <c r="I8" s="46">
        <v>1</v>
      </c>
      <c r="J8" s="46">
        <v>7</v>
      </c>
      <c r="K8" s="25" t="s">
        <v>19</v>
      </c>
      <c r="L8" s="36" t="s">
        <v>119</v>
      </c>
      <c r="M8" s="38" t="s">
        <v>246</v>
      </c>
      <c r="N8" s="33">
        <v>1</v>
      </c>
      <c r="O8" s="33">
        <v>1</v>
      </c>
      <c r="P8" s="34">
        <f>O8</f>
        <v>1</v>
      </c>
      <c r="Q8" s="23">
        <v>6.5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59"/>
      <c r="H9" s="52"/>
      <c r="I9" s="47"/>
      <c r="J9" s="47"/>
      <c r="K9" s="25" t="s">
        <v>21</v>
      </c>
      <c r="L9" s="36" t="s">
        <v>121</v>
      </c>
      <c r="M9" s="33" t="s">
        <v>247</v>
      </c>
      <c r="N9" s="33">
        <v>1</v>
      </c>
      <c r="O9" s="33">
        <v>1</v>
      </c>
      <c r="P9" s="34">
        <f t="shared" ref="P9:P25" si="0">O9</f>
        <v>1</v>
      </c>
      <c r="Q9" s="23">
        <v>6.5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59"/>
      <c r="H10" s="52"/>
      <c r="I10" s="47"/>
      <c r="J10" s="47"/>
      <c r="K10" s="25" t="s">
        <v>23</v>
      </c>
      <c r="L10" s="36" t="s">
        <v>123</v>
      </c>
      <c r="M10" s="33" t="s">
        <v>124</v>
      </c>
      <c r="N10" s="33">
        <v>1</v>
      </c>
      <c r="O10" s="33">
        <v>1</v>
      </c>
      <c r="P10" s="34">
        <f t="shared" si="0"/>
        <v>1</v>
      </c>
      <c r="Q10" s="23">
        <v>1.2</v>
      </c>
      <c r="R10" s="23" t="s">
        <v>221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59"/>
      <c r="H11" s="52"/>
      <c r="I11" s="47"/>
      <c r="J11" s="47"/>
      <c r="K11" s="25" t="s">
        <v>26</v>
      </c>
      <c r="L11" s="36" t="s">
        <v>77</v>
      </c>
      <c r="M11" s="33" t="s">
        <v>125</v>
      </c>
      <c r="N11" s="33">
        <v>2</v>
      </c>
      <c r="O11" s="33">
        <v>2</v>
      </c>
      <c r="P11" s="34">
        <f t="shared" si="0"/>
        <v>2</v>
      </c>
      <c r="Q11" s="23">
        <v>5</v>
      </c>
      <c r="R11" s="23" t="s">
        <v>221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59"/>
      <c r="H12" s="52"/>
      <c r="I12" s="47"/>
      <c r="J12" s="47"/>
      <c r="K12" s="25" t="s">
        <v>29</v>
      </c>
      <c r="L12" s="36" t="s">
        <v>78</v>
      </c>
      <c r="M12" s="33" t="s">
        <v>125</v>
      </c>
      <c r="N12" s="33">
        <v>2</v>
      </c>
      <c r="O12" s="33">
        <v>2</v>
      </c>
      <c r="P12" s="34">
        <f t="shared" si="0"/>
        <v>2</v>
      </c>
      <c r="Q12" s="23">
        <v>5</v>
      </c>
      <c r="R12" s="23" t="s">
        <v>221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59"/>
      <c r="H13" s="52"/>
      <c r="I13" s="47"/>
      <c r="J13" s="47"/>
      <c r="K13" s="25" t="s">
        <v>32</v>
      </c>
      <c r="L13" s="36" t="s">
        <v>76</v>
      </c>
      <c r="M13" s="33" t="s">
        <v>44</v>
      </c>
      <c r="N13" s="33">
        <v>1</v>
      </c>
      <c r="O13" s="33">
        <v>1</v>
      </c>
      <c r="P13" s="34">
        <f t="shared" si="0"/>
        <v>1</v>
      </c>
      <c r="Q13" s="23">
        <v>1</v>
      </c>
      <c r="R13" s="23" t="s">
        <v>222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59"/>
      <c r="H14" s="52"/>
      <c r="I14" s="47"/>
      <c r="J14" s="47"/>
      <c r="K14" s="25" t="s">
        <v>35</v>
      </c>
      <c r="L14" s="36" t="s">
        <v>127</v>
      </c>
      <c r="M14" s="33" t="s">
        <v>128</v>
      </c>
      <c r="N14" s="33">
        <v>1</v>
      </c>
      <c r="O14" s="33">
        <v>1</v>
      </c>
      <c r="P14" s="34">
        <f t="shared" si="0"/>
        <v>1</v>
      </c>
      <c r="Q14" s="23">
        <v>0.5</v>
      </c>
      <c r="R14" s="23" t="s">
        <v>221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59"/>
      <c r="H15" s="52"/>
      <c r="I15" s="47"/>
      <c r="J15" s="47"/>
      <c r="K15" s="25" t="s">
        <v>37</v>
      </c>
      <c r="L15" s="36" t="s">
        <v>129</v>
      </c>
      <c r="M15" s="33" t="s">
        <v>130</v>
      </c>
      <c r="N15" s="33">
        <v>2</v>
      </c>
      <c r="O15" s="33">
        <v>2</v>
      </c>
      <c r="P15" s="34">
        <f t="shared" si="0"/>
        <v>2</v>
      </c>
      <c r="Q15" s="23">
        <v>0.5</v>
      </c>
      <c r="R15" s="23" t="s">
        <v>221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59"/>
      <c r="H16" s="52"/>
      <c r="I16" s="47"/>
      <c r="J16" s="47"/>
      <c r="K16" s="25" t="s">
        <v>40</v>
      </c>
      <c r="L16" s="36" t="s">
        <v>131</v>
      </c>
      <c r="M16" s="33" t="s">
        <v>132</v>
      </c>
      <c r="N16" s="33">
        <v>2</v>
      </c>
      <c r="O16" s="33">
        <v>2</v>
      </c>
      <c r="P16" s="34">
        <f t="shared" si="0"/>
        <v>2</v>
      </c>
      <c r="Q16" s="23">
        <v>0.5</v>
      </c>
      <c r="R16" s="23" t="s">
        <v>221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59"/>
      <c r="H17" s="52"/>
      <c r="I17" s="47"/>
      <c r="J17" s="47"/>
      <c r="K17" s="25" t="s">
        <v>51</v>
      </c>
      <c r="L17" s="36" t="s">
        <v>133</v>
      </c>
      <c r="M17" s="33" t="s">
        <v>134</v>
      </c>
      <c r="N17" s="33">
        <v>2</v>
      </c>
      <c r="O17" s="33">
        <v>2</v>
      </c>
      <c r="P17" s="34">
        <f t="shared" si="0"/>
        <v>2</v>
      </c>
      <c r="Q17" s="23">
        <v>0.5</v>
      </c>
      <c r="R17" s="23" t="s">
        <v>221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59"/>
      <c r="H18" s="52"/>
      <c r="I18" s="47"/>
      <c r="J18" s="47"/>
      <c r="K18" s="25" t="s">
        <v>52</v>
      </c>
      <c r="L18" s="36" t="s">
        <v>135</v>
      </c>
      <c r="M18" s="33" t="s">
        <v>136</v>
      </c>
      <c r="N18" s="33">
        <v>2</v>
      </c>
      <c r="O18" s="33">
        <v>2</v>
      </c>
      <c r="P18" s="34">
        <f t="shared" si="0"/>
        <v>2</v>
      </c>
      <c r="Q18" s="23">
        <v>0.5</v>
      </c>
      <c r="R18" s="23" t="s">
        <v>221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59"/>
      <c r="H19" s="52"/>
      <c r="I19" s="47"/>
      <c r="J19" s="47"/>
      <c r="K19" s="25" t="s">
        <v>53</v>
      </c>
      <c r="L19" s="36" t="s">
        <v>38</v>
      </c>
      <c r="M19" s="33" t="s">
        <v>137</v>
      </c>
      <c r="N19" s="33">
        <v>6</v>
      </c>
      <c r="O19" s="33">
        <v>6</v>
      </c>
      <c r="P19" s="34">
        <f t="shared" si="0"/>
        <v>6</v>
      </c>
      <c r="Q19" s="34">
        <v>6</v>
      </c>
      <c r="R19" s="23" t="s">
        <v>222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59"/>
      <c r="H20" s="52"/>
      <c r="I20" s="47"/>
      <c r="J20" s="47"/>
      <c r="K20" s="25" t="s">
        <v>57</v>
      </c>
      <c r="L20" s="36" t="s">
        <v>150</v>
      </c>
      <c r="M20" s="33" t="s">
        <v>80</v>
      </c>
      <c r="N20" s="33">
        <v>6</v>
      </c>
      <c r="O20" s="33">
        <v>6</v>
      </c>
      <c r="P20" s="34">
        <f t="shared" si="0"/>
        <v>6</v>
      </c>
      <c r="Q20" s="34">
        <v>6</v>
      </c>
      <c r="R20" s="23" t="s">
        <v>222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59"/>
      <c r="H21" s="52"/>
      <c r="I21" s="47"/>
      <c r="J21" s="47"/>
      <c r="K21" s="25" t="s">
        <v>58</v>
      </c>
      <c r="L21" s="36" t="s">
        <v>138</v>
      </c>
      <c r="M21" s="33" t="s">
        <v>39</v>
      </c>
      <c r="N21" s="33">
        <v>1</v>
      </c>
      <c r="O21" s="33">
        <v>1</v>
      </c>
      <c r="P21" s="34">
        <f t="shared" si="0"/>
        <v>1</v>
      </c>
      <c r="Q21" s="34">
        <v>1</v>
      </c>
      <c r="R21" s="23" t="s">
        <v>222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59"/>
      <c r="H22" s="52"/>
      <c r="I22" s="47"/>
      <c r="J22" s="47"/>
      <c r="K22" s="25" t="s">
        <v>64</v>
      </c>
      <c r="L22" s="36" t="s">
        <v>139</v>
      </c>
      <c r="M22" s="33" t="s">
        <v>140</v>
      </c>
      <c r="N22" s="33">
        <v>4</v>
      </c>
      <c r="O22" s="33">
        <v>4</v>
      </c>
      <c r="P22" s="34">
        <f t="shared" si="0"/>
        <v>4</v>
      </c>
      <c r="Q22" s="23">
        <v>2</v>
      </c>
      <c r="R22" s="23" t="s">
        <v>221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59"/>
      <c r="H23" s="52"/>
      <c r="I23" s="47"/>
      <c r="J23" s="47"/>
      <c r="K23" s="25" t="s">
        <v>65</v>
      </c>
      <c r="L23" s="36" t="s">
        <v>141</v>
      </c>
      <c r="M23" s="33" t="s">
        <v>248</v>
      </c>
      <c r="N23" s="33">
        <v>1</v>
      </c>
      <c r="O23" s="33">
        <v>1</v>
      </c>
      <c r="P23" s="34">
        <f t="shared" si="0"/>
        <v>1</v>
      </c>
      <c r="Q23" s="23">
        <v>1</v>
      </c>
      <c r="R23" s="23" t="s">
        <v>222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59"/>
      <c r="H24" s="52"/>
      <c r="I24" s="47"/>
      <c r="J24" s="47"/>
      <c r="K24" s="25" t="s">
        <v>66</v>
      </c>
      <c r="L24" s="36" t="s">
        <v>142</v>
      </c>
      <c r="M24" s="33" t="s">
        <v>249</v>
      </c>
      <c r="N24" s="33">
        <v>1</v>
      </c>
      <c r="O24" s="33">
        <v>1</v>
      </c>
      <c r="P24" s="34">
        <f t="shared" si="0"/>
        <v>1</v>
      </c>
      <c r="Q24" s="23">
        <v>1</v>
      </c>
      <c r="R24" s="23" t="s">
        <v>222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60"/>
      <c r="H25" s="53"/>
      <c r="I25" s="48"/>
      <c r="J25" s="48"/>
      <c r="K25" s="25" t="s">
        <v>69</v>
      </c>
      <c r="L25" s="36" t="s">
        <v>148</v>
      </c>
      <c r="M25" s="33" t="s">
        <v>250</v>
      </c>
      <c r="N25" s="33">
        <v>1</v>
      </c>
      <c r="O25" s="33">
        <v>1</v>
      </c>
      <c r="P25" s="34">
        <f t="shared" si="0"/>
        <v>1</v>
      </c>
      <c r="Q25" s="23">
        <v>1</v>
      </c>
      <c r="R25" s="23" t="s">
        <v>222</v>
      </c>
      <c r="S25" s="23" t="s">
        <v>44</v>
      </c>
    </row>
  </sheetData>
  <mergeCells count="5">
    <mergeCell ref="A6:B6"/>
    <mergeCell ref="G8:G25"/>
    <mergeCell ref="H8:H25"/>
    <mergeCell ref="I8:I25"/>
    <mergeCell ref="J8:J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S27"/>
  <sheetViews>
    <sheetView view="pageLayout" zoomScale="115" zoomScaleNormal="100" zoomScalePageLayoutView="115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7</v>
      </c>
      <c r="C8" s="9"/>
      <c r="D8" s="35" t="s">
        <v>118</v>
      </c>
      <c r="E8" s="7"/>
      <c r="F8" s="8"/>
      <c r="G8" s="58"/>
      <c r="H8" s="51" t="s">
        <v>226</v>
      </c>
      <c r="I8" s="46">
        <v>1</v>
      </c>
      <c r="J8" s="46">
        <v>7</v>
      </c>
      <c r="K8" s="25" t="s">
        <v>19</v>
      </c>
      <c r="L8" s="36" t="s">
        <v>119</v>
      </c>
      <c r="M8" s="38" t="s">
        <v>120</v>
      </c>
      <c r="N8" s="33">
        <v>1</v>
      </c>
      <c r="O8" s="33">
        <v>1</v>
      </c>
      <c r="P8" s="34">
        <f>O8*7</f>
        <v>7</v>
      </c>
      <c r="Q8" s="23">
        <v>91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59"/>
      <c r="H9" s="52"/>
      <c r="I9" s="47"/>
      <c r="J9" s="47"/>
      <c r="K9" s="25" t="s">
        <v>21</v>
      </c>
      <c r="L9" s="36" t="s">
        <v>121</v>
      </c>
      <c r="M9" s="33" t="s">
        <v>122</v>
      </c>
      <c r="N9" s="33">
        <v>1</v>
      </c>
      <c r="O9" s="33">
        <v>1</v>
      </c>
      <c r="P9" s="34">
        <f t="shared" ref="P9:P27" si="0">O9*7</f>
        <v>7</v>
      </c>
      <c r="Q9" s="23">
        <v>89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59"/>
      <c r="H10" s="52"/>
      <c r="I10" s="47"/>
      <c r="J10" s="47"/>
      <c r="K10" s="25" t="s">
        <v>23</v>
      </c>
      <c r="L10" s="36" t="s">
        <v>123</v>
      </c>
      <c r="M10" s="33" t="s">
        <v>124</v>
      </c>
      <c r="N10" s="33">
        <v>3</v>
      </c>
      <c r="O10" s="33">
        <v>3</v>
      </c>
      <c r="P10" s="34">
        <f t="shared" si="0"/>
        <v>21</v>
      </c>
      <c r="Q10" s="23">
        <v>24</v>
      </c>
      <c r="R10" s="23" t="s">
        <v>221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59"/>
      <c r="H11" s="52"/>
      <c r="I11" s="47"/>
      <c r="J11" s="47"/>
      <c r="K11" s="25" t="s">
        <v>26</v>
      </c>
      <c r="L11" s="36" t="s">
        <v>77</v>
      </c>
      <c r="M11" s="33" t="s">
        <v>125</v>
      </c>
      <c r="N11" s="33">
        <v>2</v>
      </c>
      <c r="O11" s="33">
        <v>2</v>
      </c>
      <c r="P11" s="34">
        <f t="shared" si="0"/>
        <v>14</v>
      </c>
      <c r="Q11" s="23">
        <v>37</v>
      </c>
      <c r="R11" s="23" t="s">
        <v>221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59"/>
      <c r="H12" s="52"/>
      <c r="I12" s="47"/>
      <c r="J12" s="47"/>
      <c r="K12" s="25" t="s">
        <v>29</v>
      </c>
      <c r="L12" s="36" t="s">
        <v>78</v>
      </c>
      <c r="M12" s="33" t="s">
        <v>126</v>
      </c>
      <c r="N12" s="33">
        <v>2</v>
      </c>
      <c r="O12" s="33">
        <v>2</v>
      </c>
      <c r="P12" s="34">
        <f t="shared" si="0"/>
        <v>14</v>
      </c>
      <c r="Q12" s="23">
        <v>97</v>
      </c>
      <c r="R12" s="23" t="s">
        <v>221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59"/>
      <c r="H13" s="52"/>
      <c r="I13" s="47"/>
      <c r="J13" s="47"/>
      <c r="K13" s="25" t="s">
        <v>32</v>
      </c>
      <c r="L13" s="36" t="s">
        <v>76</v>
      </c>
      <c r="M13" s="33" t="s">
        <v>44</v>
      </c>
      <c r="N13" s="33">
        <v>1</v>
      </c>
      <c r="O13" s="33">
        <v>1</v>
      </c>
      <c r="P13" s="34">
        <f t="shared" si="0"/>
        <v>7</v>
      </c>
      <c r="Q13" s="23">
        <v>7</v>
      </c>
      <c r="R13" s="23" t="s">
        <v>222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59"/>
      <c r="H14" s="52"/>
      <c r="I14" s="47"/>
      <c r="J14" s="47"/>
      <c r="K14" s="25" t="s">
        <v>35</v>
      </c>
      <c r="L14" s="36" t="s">
        <v>127</v>
      </c>
      <c r="M14" s="33" t="s">
        <v>128</v>
      </c>
      <c r="N14" s="33">
        <v>1</v>
      </c>
      <c r="O14" s="33">
        <v>1</v>
      </c>
      <c r="P14" s="34">
        <f t="shared" si="0"/>
        <v>7</v>
      </c>
      <c r="Q14" s="23">
        <v>0.5</v>
      </c>
      <c r="R14" s="23" t="s">
        <v>221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59"/>
      <c r="H15" s="52"/>
      <c r="I15" s="47"/>
      <c r="J15" s="47"/>
      <c r="K15" s="25" t="s">
        <v>37</v>
      </c>
      <c r="L15" s="36" t="s">
        <v>129</v>
      </c>
      <c r="M15" s="33" t="s">
        <v>130</v>
      </c>
      <c r="N15" s="33">
        <v>3</v>
      </c>
      <c r="O15" s="33">
        <v>3</v>
      </c>
      <c r="P15" s="34">
        <f t="shared" si="0"/>
        <v>21</v>
      </c>
      <c r="Q15" s="23">
        <v>2.5</v>
      </c>
      <c r="R15" s="23" t="s">
        <v>221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59"/>
      <c r="H16" s="52"/>
      <c r="I16" s="47"/>
      <c r="J16" s="47"/>
      <c r="K16" s="25" t="s">
        <v>40</v>
      </c>
      <c r="L16" s="36" t="s">
        <v>131</v>
      </c>
      <c r="M16" s="33" t="s">
        <v>132</v>
      </c>
      <c r="N16" s="33">
        <v>3</v>
      </c>
      <c r="O16" s="33">
        <v>3</v>
      </c>
      <c r="P16" s="34">
        <f t="shared" si="0"/>
        <v>21</v>
      </c>
      <c r="Q16" s="23">
        <v>2.7</v>
      </c>
      <c r="R16" s="23" t="s">
        <v>221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59"/>
      <c r="H17" s="52"/>
      <c r="I17" s="47"/>
      <c r="J17" s="47"/>
      <c r="K17" s="25" t="s">
        <v>51</v>
      </c>
      <c r="L17" s="36" t="s">
        <v>133</v>
      </c>
      <c r="M17" s="33" t="s">
        <v>134</v>
      </c>
      <c r="N17" s="33">
        <v>3</v>
      </c>
      <c r="O17" s="33">
        <v>3</v>
      </c>
      <c r="P17" s="34">
        <f t="shared" si="0"/>
        <v>21</v>
      </c>
      <c r="Q17" s="23">
        <v>5.7</v>
      </c>
      <c r="R17" s="23" t="s">
        <v>221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59"/>
      <c r="H18" s="52"/>
      <c r="I18" s="47"/>
      <c r="J18" s="47"/>
      <c r="K18" s="25" t="s">
        <v>52</v>
      </c>
      <c r="L18" s="36" t="s">
        <v>135</v>
      </c>
      <c r="M18" s="33" t="s">
        <v>136</v>
      </c>
      <c r="N18" s="33">
        <v>3</v>
      </c>
      <c r="O18" s="33">
        <v>3</v>
      </c>
      <c r="P18" s="34">
        <f t="shared" si="0"/>
        <v>21</v>
      </c>
      <c r="Q18" s="23">
        <v>3.7</v>
      </c>
      <c r="R18" s="23" t="s">
        <v>221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59"/>
      <c r="H19" s="52"/>
      <c r="I19" s="47"/>
      <c r="J19" s="47"/>
      <c r="K19" s="25" t="s">
        <v>53</v>
      </c>
      <c r="L19" s="36" t="s">
        <v>38</v>
      </c>
      <c r="M19" s="33" t="s">
        <v>137</v>
      </c>
      <c r="N19" s="33">
        <v>9</v>
      </c>
      <c r="O19" s="33">
        <v>9</v>
      </c>
      <c r="P19" s="34">
        <f t="shared" si="0"/>
        <v>63</v>
      </c>
      <c r="Q19" s="34">
        <v>63</v>
      </c>
      <c r="R19" s="23" t="s">
        <v>222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59"/>
      <c r="H20" s="52"/>
      <c r="I20" s="47"/>
      <c r="J20" s="47"/>
      <c r="K20" s="25" t="s">
        <v>57</v>
      </c>
      <c r="L20" s="36" t="s">
        <v>150</v>
      </c>
      <c r="M20" s="33" t="s">
        <v>80</v>
      </c>
      <c r="N20" s="33">
        <v>9</v>
      </c>
      <c r="O20" s="33">
        <v>9</v>
      </c>
      <c r="P20" s="34">
        <f t="shared" si="0"/>
        <v>63</v>
      </c>
      <c r="Q20" s="34">
        <v>63</v>
      </c>
      <c r="R20" s="23" t="s">
        <v>222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59"/>
      <c r="H21" s="52"/>
      <c r="I21" s="47"/>
      <c r="J21" s="47"/>
      <c r="K21" s="25" t="s">
        <v>58</v>
      </c>
      <c r="L21" s="36" t="s">
        <v>138</v>
      </c>
      <c r="M21" s="33" t="s">
        <v>39</v>
      </c>
      <c r="N21" s="33">
        <v>1</v>
      </c>
      <c r="O21" s="33">
        <v>1</v>
      </c>
      <c r="P21" s="34">
        <f t="shared" si="0"/>
        <v>7</v>
      </c>
      <c r="Q21" s="34">
        <v>7</v>
      </c>
      <c r="R21" s="23" t="s">
        <v>222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59"/>
      <c r="H22" s="52"/>
      <c r="I22" s="47"/>
      <c r="J22" s="47"/>
      <c r="K22" s="25" t="s">
        <v>64</v>
      </c>
      <c r="L22" s="36" t="s">
        <v>139</v>
      </c>
      <c r="M22" s="33" t="s">
        <v>140</v>
      </c>
      <c r="N22" s="33">
        <v>4</v>
      </c>
      <c r="O22" s="33">
        <v>4</v>
      </c>
      <c r="P22" s="34">
        <f t="shared" si="0"/>
        <v>28</v>
      </c>
      <c r="Q22" s="23">
        <v>16</v>
      </c>
      <c r="R22" s="23" t="s">
        <v>221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59"/>
      <c r="H23" s="52"/>
      <c r="I23" s="47"/>
      <c r="J23" s="47"/>
      <c r="K23" s="25" t="s">
        <v>65</v>
      </c>
      <c r="L23" s="36" t="s">
        <v>141</v>
      </c>
      <c r="M23" s="33" t="s">
        <v>149</v>
      </c>
      <c r="N23" s="33">
        <v>1</v>
      </c>
      <c r="O23" s="33">
        <v>1</v>
      </c>
      <c r="P23" s="34">
        <f t="shared" si="0"/>
        <v>7</v>
      </c>
      <c r="Q23" s="23">
        <v>7</v>
      </c>
      <c r="R23" s="23" t="s">
        <v>222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59"/>
      <c r="H24" s="52"/>
      <c r="I24" s="47"/>
      <c r="J24" s="47"/>
      <c r="K24" s="25" t="s">
        <v>66</v>
      </c>
      <c r="L24" s="36" t="s">
        <v>142</v>
      </c>
      <c r="M24" s="33" t="s">
        <v>143</v>
      </c>
      <c r="N24" s="33">
        <v>1</v>
      </c>
      <c r="O24" s="33">
        <v>1</v>
      </c>
      <c r="P24" s="34">
        <f t="shared" si="0"/>
        <v>7</v>
      </c>
      <c r="Q24" s="23">
        <v>7</v>
      </c>
      <c r="R24" s="23" t="s">
        <v>222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59"/>
      <c r="H25" s="52"/>
      <c r="I25" s="47"/>
      <c r="J25" s="47"/>
      <c r="K25" s="25" t="s">
        <v>67</v>
      </c>
      <c r="L25" s="36" t="s">
        <v>144</v>
      </c>
      <c r="M25" s="33" t="s">
        <v>145</v>
      </c>
      <c r="N25" s="33">
        <v>1</v>
      </c>
      <c r="O25" s="33">
        <v>1</v>
      </c>
      <c r="P25" s="34">
        <f t="shared" si="0"/>
        <v>7</v>
      </c>
      <c r="Q25" s="23">
        <v>7</v>
      </c>
      <c r="R25" s="23" t="s">
        <v>222</v>
      </c>
      <c r="S25" s="23" t="s">
        <v>44</v>
      </c>
    </row>
    <row r="26" spans="1:19" x14ac:dyDescent="0.2">
      <c r="A26" s="4"/>
      <c r="B26" s="8"/>
      <c r="C26" s="7"/>
      <c r="D26" s="7"/>
      <c r="E26" s="7"/>
      <c r="F26" s="8"/>
      <c r="G26" s="59"/>
      <c r="H26" s="52"/>
      <c r="I26" s="47"/>
      <c r="J26" s="47"/>
      <c r="K26" s="25" t="s">
        <v>68</v>
      </c>
      <c r="L26" s="36" t="s">
        <v>146</v>
      </c>
      <c r="M26" s="33" t="s">
        <v>145</v>
      </c>
      <c r="N26" s="33">
        <v>1</v>
      </c>
      <c r="O26" s="33">
        <v>1</v>
      </c>
      <c r="P26" s="34">
        <f t="shared" si="0"/>
        <v>7</v>
      </c>
      <c r="Q26" s="23">
        <v>7</v>
      </c>
      <c r="R26" s="23" t="s">
        <v>222</v>
      </c>
      <c r="S26" s="23" t="s">
        <v>44</v>
      </c>
    </row>
    <row r="27" spans="1:19" x14ac:dyDescent="0.2">
      <c r="A27" s="4"/>
      <c r="B27" s="8"/>
      <c r="C27" s="7"/>
      <c r="D27" s="7"/>
      <c r="E27" s="7"/>
      <c r="F27" s="8"/>
      <c r="G27" s="60"/>
      <c r="H27" s="53"/>
      <c r="I27" s="48"/>
      <c r="J27" s="48"/>
      <c r="K27" s="25" t="s">
        <v>69</v>
      </c>
      <c r="L27" s="36" t="s">
        <v>148</v>
      </c>
      <c r="M27" s="33" t="s">
        <v>147</v>
      </c>
      <c r="N27" s="33">
        <v>1</v>
      </c>
      <c r="O27" s="33">
        <v>1</v>
      </c>
      <c r="P27" s="34">
        <f t="shared" si="0"/>
        <v>7</v>
      </c>
      <c r="Q27" s="23">
        <v>7</v>
      </c>
      <c r="R27" s="23" t="s">
        <v>222</v>
      </c>
      <c r="S27" s="23" t="s">
        <v>44</v>
      </c>
    </row>
  </sheetData>
  <mergeCells count="5">
    <mergeCell ref="A6:B6"/>
    <mergeCell ref="J8:J27"/>
    <mergeCell ref="G8:G27"/>
    <mergeCell ref="H8:H27"/>
    <mergeCell ref="I8:I2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S26"/>
  <sheetViews>
    <sheetView view="pageLayout" topLeftCell="A13" zoomScale="115" zoomScaleNormal="100" zoomScalePageLayoutView="115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61" t="s">
        <v>56</v>
      </c>
      <c r="E8" s="7"/>
      <c r="F8" s="8"/>
      <c r="G8" s="58"/>
      <c r="H8" s="51" t="s">
        <v>177</v>
      </c>
      <c r="I8" s="46">
        <v>2</v>
      </c>
      <c r="J8" s="46">
        <v>2</v>
      </c>
      <c r="K8" s="25" t="s">
        <v>19</v>
      </c>
      <c r="L8" s="36" t="s">
        <v>105</v>
      </c>
      <c r="M8" s="33" t="s">
        <v>117</v>
      </c>
      <c r="N8" s="33">
        <v>4</v>
      </c>
      <c r="O8" s="33">
        <f>N8</f>
        <v>4</v>
      </c>
      <c r="P8" s="34">
        <f>O8</f>
        <v>4</v>
      </c>
      <c r="Q8" s="23">
        <v>4</v>
      </c>
      <c r="R8" s="23" t="s">
        <v>222</v>
      </c>
      <c r="S8" s="23" t="s">
        <v>44</v>
      </c>
    </row>
    <row r="9" spans="1:19" ht="14.25" customHeight="1" x14ac:dyDescent="0.2">
      <c r="A9" s="4"/>
      <c r="B9" s="8"/>
      <c r="C9" s="7"/>
      <c r="D9" s="62"/>
      <c r="E9" s="7"/>
      <c r="F9" s="8"/>
      <c r="G9" s="59"/>
      <c r="H9" s="52"/>
      <c r="I9" s="47"/>
      <c r="J9" s="47"/>
      <c r="K9" s="25" t="s">
        <v>21</v>
      </c>
      <c r="L9" s="36" t="s">
        <v>106</v>
      </c>
      <c r="M9" s="33" t="s">
        <v>44</v>
      </c>
      <c r="N9" s="33">
        <v>8</v>
      </c>
      <c r="O9" s="33">
        <f t="shared" ref="O9:P26" si="0">N9</f>
        <v>8</v>
      </c>
      <c r="P9" s="34">
        <f t="shared" si="0"/>
        <v>8</v>
      </c>
      <c r="Q9" s="23">
        <v>8</v>
      </c>
      <c r="R9" s="23" t="s">
        <v>222</v>
      </c>
      <c r="S9" s="23" t="s">
        <v>44</v>
      </c>
    </row>
    <row r="10" spans="1:19" ht="14.25" customHeight="1" x14ac:dyDescent="0.2">
      <c r="A10" s="8"/>
      <c r="B10" s="8"/>
      <c r="C10" s="8"/>
      <c r="D10" s="62"/>
      <c r="E10" s="8"/>
      <c r="F10" s="8"/>
      <c r="G10" s="59"/>
      <c r="H10" s="52"/>
      <c r="I10" s="47"/>
      <c r="J10" s="47"/>
      <c r="K10" s="25" t="s">
        <v>23</v>
      </c>
      <c r="L10" s="36" t="s">
        <v>107</v>
      </c>
      <c r="M10" s="33" t="s">
        <v>44</v>
      </c>
      <c r="N10" s="33">
        <v>4</v>
      </c>
      <c r="O10" s="33">
        <f t="shared" si="0"/>
        <v>4</v>
      </c>
      <c r="P10" s="34">
        <f t="shared" si="0"/>
        <v>4</v>
      </c>
      <c r="Q10" s="23">
        <v>4</v>
      </c>
      <c r="R10" s="23" t="s">
        <v>222</v>
      </c>
      <c r="S10" s="23" t="s">
        <v>44</v>
      </c>
    </row>
    <row r="11" spans="1:19" ht="14.25" customHeight="1" x14ac:dyDescent="0.2">
      <c r="A11" s="4"/>
      <c r="B11" s="8"/>
      <c r="C11" s="7"/>
      <c r="D11" s="62"/>
      <c r="E11" s="7"/>
      <c r="F11" s="8"/>
      <c r="G11" s="59"/>
      <c r="H11" s="52"/>
      <c r="I11" s="47"/>
      <c r="J11" s="47"/>
      <c r="K11" s="25" t="s">
        <v>26</v>
      </c>
      <c r="L11" s="36" t="s">
        <v>108</v>
      </c>
      <c r="M11" s="33" t="s">
        <v>109</v>
      </c>
      <c r="N11" s="33">
        <v>4</v>
      </c>
      <c r="O11" s="33">
        <f t="shared" si="0"/>
        <v>4</v>
      </c>
      <c r="P11" s="34">
        <f t="shared" si="0"/>
        <v>4</v>
      </c>
      <c r="Q11" s="23">
        <v>13</v>
      </c>
      <c r="R11" s="23" t="s">
        <v>221</v>
      </c>
      <c r="S11" s="23" t="s">
        <v>44</v>
      </c>
    </row>
    <row r="12" spans="1:19" ht="14.25" customHeight="1" x14ac:dyDescent="0.2">
      <c r="A12" s="4"/>
      <c r="B12" s="8"/>
      <c r="C12" s="7"/>
      <c r="D12" s="62"/>
      <c r="E12" s="7"/>
      <c r="F12" s="8"/>
      <c r="G12" s="59"/>
      <c r="H12" s="52"/>
      <c r="I12" s="47"/>
      <c r="J12" s="47"/>
      <c r="K12" s="25" t="s">
        <v>29</v>
      </c>
      <c r="L12" s="37" t="s">
        <v>110</v>
      </c>
      <c r="M12" s="33" t="s">
        <v>44</v>
      </c>
      <c r="N12" s="33">
        <v>32</v>
      </c>
      <c r="O12" s="33">
        <f t="shared" si="0"/>
        <v>32</v>
      </c>
      <c r="P12" s="34">
        <f t="shared" si="0"/>
        <v>32</v>
      </c>
      <c r="Q12" s="23">
        <v>32</v>
      </c>
      <c r="R12" s="23" t="s">
        <v>222</v>
      </c>
      <c r="S12" s="23" t="s">
        <v>44</v>
      </c>
    </row>
    <row r="13" spans="1:19" ht="14.25" customHeight="1" x14ac:dyDescent="0.2">
      <c r="A13" s="4"/>
      <c r="B13" s="8"/>
      <c r="C13" s="7"/>
      <c r="D13" s="62"/>
      <c r="E13" s="7"/>
      <c r="F13" s="8"/>
      <c r="G13" s="60"/>
      <c r="H13" s="53"/>
      <c r="I13" s="48"/>
      <c r="J13" s="48"/>
      <c r="K13" s="25" t="s">
        <v>32</v>
      </c>
      <c r="L13" s="36" t="s">
        <v>111</v>
      </c>
      <c r="M13" s="33" t="s">
        <v>44</v>
      </c>
      <c r="N13" s="33">
        <v>32</v>
      </c>
      <c r="O13" s="33">
        <f t="shared" ref="O13:O17" si="1">N13</f>
        <v>32</v>
      </c>
      <c r="P13" s="34">
        <f t="shared" ref="P13:P17" si="2">O13</f>
        <v>32</v>
      </c>
      <c r="Q13" s="23">
        <v>32</v>
      </c>
      <c r="R13" s="23" t="s">
        <v>222</v>
      </c>
      <c r="S13" s="23" t="s">
        <v>44</v>
      </c>
    </row>
    <row r="14" spans="1:19" ht="14.25" customHeight="1" x14ac:dyDescent="0.2">
      <c r="A14" s="4"/>
      <c r="B14" s="8"/>
      <c r="C14" s="7"/>
      <c r="D14" s="62"/>
      <c r="E14" s="7"/>
      <c r="F14" s="8"/>
      <c r="G14" s="10"/>
      <c r="H14" s="18"/>
      <c r="I14" s="19"/>
      <c r="J14" s="19"/>
      <c r="K14" s="25" t="s">
        <v>35</v>
      </c>
      <c r="L14" s="36" t="s">
        <v>112</v>
      </c>
      <c r="M14" s="33" t="s">
        <v>44</v>
      </c>
      <c r="N14" s="33">
        <v>32</v>
      </c>
      <c r="O14" s="33">
        <f t="shared" si="1"/>
        <v>32</v>
      </c>
      <c r="P14" s="34">
        <f t="shared" si="2"/>
        <v>32</v>
      </c>
      <c r="Q14" s="23">
        <v>32</v>
      </c>
      <c r="R14" s="23" t="s">
        <v>222</v>
      </c>
      <c r="S14" s="23" t="s">
        <v>44</v>
      </c>
    </row>
    <row r="15" spans="1:19" ht="14.25" customHeight="1" x14ac:dyDescent="0.2">
      <c r="A15" s="4"/>
      <c r="B15" s="8"/>
      <c r="C15" s="7"/>
      <c r="D15" s="62"/>
      <c r="E15" s="7"/>
      <c r="F15" s="8"/>
      <c r="G15" s="10"/>
      <c r="H15" s="18"/>
      <c r="I15" s="19"/>
      <c r="J15" s="19"/>
      <c r="K15" s="25" t="s">
        <v>37</v>
      </c>
      <c r="L15" s="36" t="s">
        <v>50</v>
      </c>
      <c r="M15" s="33" t="s">
        <v>44</v>
      </c>
      <c r="N15" s="33">
        <v>32</v>
      </c>
      <c r="O15" s="33">
        <f t="shared" si="1"/>
        <v>32</v>
      </c>
      <c r="P15" s="34">
        <f t="shared" si="2"/>
        <v>32</v>
      </c>
      <c r="Q15" s="23">
        <v>32</v>
      </c>
      <c r="R15" s="23" t="s">
        <v>222</v>
      </c>
      <c r="S15" s="23" t="s">
        <v>44</v>
      </c>
    </row>
    <row r="16" spans="1:19" ht="14.25" customHeight="1" x14ac:dyDescent="0.2">
      <c r="A16" s="4"/>
      <c r="B16" s="8"/>
      <c r="C16" s="7"/>
      <c r="D16" s="62"/>
      <c r="E16" s="7"/>
      <c r="F16" s="8"/>
      <c r="G16" s="58"/>
      <c r="H16" s="51" t="s">
        <v>225</v>
      </c>
      <c r="I16" s="46">
        <v>16</v>
      </c>
      <c r="J16" s="46">
        <v>16</v>
      </c>
      <c r="K16" s="25" t="s">
        <v>40</v>
      </c>
      <c r="L16" s="36" t="s">
        <v>45</v>
      </c>
      <c r="M16" s="38" t="s">
        <v>244</v>
      </c>
      <c r="N16" s="33">
        <v>32</v>
      </c>
      <c r="O16" s="33">
        <f t="shared" si="1"/>
        <v>32</v>
      </c>
      <c r="P16" s="34">
        <f t="shared" si="2"/>
        <v>32</v>
      </c>
      <c r="Q16" s="23">
        <v>32</v>
      </c>
      <c r="R16" s="23" t="s">
        <v>222</v>
      </c>
      <c r="S16" s="23" t="s">
        <v>44</v>
      </c>
    </row>
    <row r="17" spans="1:19" ht="14.25" customHeight="1" x14ac:dyDescent="0.2">
      <c r="A17" s="4"/>
      <c r="B17" s="8"/>
      <c r="C17" s="7"/>
      <c r="D17" s="62"/>
      <c r="E17" s="7"/>
      <c r="F17" s="8"/>
      <c r="G17" s="60"/>
      <c r="H17" s="53"/>
      <c r="I17" s="48"/>
      <c r="J17" s="48"/>
      <c r="K17" s="25" t="s">
        <v>51</v>
      </c>
      <c r="L17" s="36" t="s">
        <v>46</v>
      </c>
      <c r="M17" s="33" t="s">
        <v>44</v>
      </c>
      <c r="N17" s="33">
        <v>32</v>
      </c>
      <c r="O17" s="33">
        <f t="shared" si="1"/>
        <v>32</v>
      </c>
      <c r="P17" s="34">
        <f t="shared" si="2"/>
        <v>32</v>
      </c>
      <c r="Q17" s="23">
        <v>32</v>
      </c>
      <c r="R17" s="23" t="s">
        <v>222</v>
      </c>
      <c r="S17" s="23" t="s">
        <v>44</v>
      </c>
    </row>
    <row r="18" spans="1:19" ht="14.25" customHeight="1" x14ac:dyDescent="0.2">
      <c r="A18" s="4"/>
      <c r="B18" s="8"/>
      <c r="C18" s="7"/>
      <c r="D18" s="62"/>
      <c r="E18" s="7"/>
      <c r="F18" s="8"/>
      <c r="G18" s="10"/>
      <c r="H18" s="18"/>
      <c r="I18" s="19"/>
      <c r="J18" s="19"/>
      <c r="K18" s="25" t="s">
        <v>52</v>
      </c>
      <c r="L18" s="36" t="s">
        <v>48</v>
      </c>
      <c r="M18" s="33" t="s">
        <v>44</v>
      </c>
      <c r="N18" s="33">
        <v>1600</v>
      </c>
      <c r="O18" s="33">
        <f t="shared" si="0"/>
        <v>1600</v>
      </c>
      <c r="P18" s="34">
        <f t="shared" si="0"/>
        <v>1600</v>
      </c>
      <c r="Q18" s="23">
        <v>1600</v>
      </c>
      <c r="R18" s="23" t="s">
        <v>222</v>
      </c>
      <c r="S18" s="23" t="s">
        <v>44</v>
      </c>
    </row>
    <row r="19" spans="1:19" ht="14.25" customHeight="1" x14ac:dyDescent="0.2">
      <c r="A19" s="4"/>
      <c r="B19" s="8"/>
      <c r="C19" s="7"/>
      <c r="D19" s="62"/>
      <c r="E19" s="7"/>
      <c r="F19" s="8"/>
      <c r="G19" s="10"/>
      <c r="H19" s="18"/>
      <c r="I19" s="19"/>
      <c r="J19" s="19"/>
      <c r="K19" s="25" t="s">
        <v>53</v>
      </c>
      <c r="L19" s="36" t="s">
        <v>47</v>
      </c>
      <c r="M19" s="33" t="s">
        <v>44</v>
      </c>
      <c r="N19" s="33">
        <v>160</v>
      </c>
      <c r="O19" s="33">
        <f t="shared" si="0"/>
        <v>160</v>
      </c>
      <c r="P19" s="34">
        <f t="shared" si="0"/>
        <v>160</v>
      </c>
      <c r="Q19" s="23">
        <v>1600</v>
      </c>
      <c r="R19" s="23" t="s">
        <v>222</v>
      </c>
      <c r="S19" s="23" t="s">
        <v>44</v>
      </c>
    </row>
    <row r="20" spans="1:19" ht="14.25" customHeight="1" x14ac:dyDescent="0.2">
      <c r="A20" s="4"/>
      <c r="B20" s="8"/>
      <c r="C20" s="7"/>
      <c r="D20" s="62"/>
      <c r="E20" s="7"/>
      <c r="F20" s="8"/>
      <c r="G20" s="10"/>
      <c r="H20" s="18"/>
      <c r="I20" s="19"/>
      <c r="J20" s="19"/>
      <c r="K20" s="25" t="s">
        <v>57</v>
      </c>
      <c r="L20" s="36" t="s">
        <v>113</v>
      </c>
      <c r="M20" s="33" t="s">
        <v>44</v>
      </c>
      <c r="N20" s="33">
        <v>1600</v>
      </c>
      <c r="O20" s="33">
        <f t="shared" si="0"/>
        <v>1600</v>
      </c>
      <c r="P20" s="34">
        <f t="shared" si="0"/>
        <v>1600</v>
      </c>
      <c r="Q20" s="23">
        <v>1600</v>
      </c>
      <c r="R20" s="23" t="s">
        <v>222</v>
      </c>
      <c r="S20" s="23" t="s">
        <v>44</v>
      </c>
    </row>
    <row r="21" spans="1:19" ht="14.25" customHeight="1" x14ac:dyDescent="0.2">
      <c r="A21" s="4"/>
      <c r="B21" s="8"/>
      <c r="C21" s="7"/>
      <c r="D21" s="62"/>
      <c r="E21" s="7"/>
      <c r="F21" s="8"/>
      <c r="G21" s="10"/>
      <c r="H21" s="18"/>
      <c r="I21" s="19"/>
      <c r="J21" s="19"/>
      <c r="K21" s="25" t="s">
        <v>58</v>
      </c>
      <c r="L21" s="36" t="s">
        <v>49</v>
      </c>
      <c r="M21" s="33" t="s">
        <v>44</v>
      </c>
      <c r="N21" s="33">
        <v>1664</v>
      </c>
      <c r="O21" s="33">
        <f t="shared" si="0"/>
        <v>1664</v>
      </c>
      <c r="P21" s="34">
        <f t="shared" si="0"/>
        <v>1664</v>
      </c>
      <c r="Q21" s="23">
        <v>1664</v>
      </c>
      <c r="R21" s="23" t="s">
        <v>222</v>
      </c>
      <c r="S21" s="23" t="s">
        <v>44</v>
      </c>
    </row>
    <row r="22" spans="1:19" x14ac:dyDescent="0.2">
      <c r="A22" s="4"/>
      <c r="B22" s="8"/>
      <c r="C22" s="7"/>
      <c r="D22" s="62"/>
      <c r="E22" s="7"/>
      <c r="F22" s="8"/>
      <c r="G22" s="10"/>
      <c r="H22" s="18"/>
      <c r="I22" s="19"/>
      <c r="J22" s="19"/>
      <c r="K22" s="25" t="s">
        <v>64</v>
      </c>
      <c r="L22" s="36" t="s">
        <v>114</v>
      </c>
      <c r="M22" s="33" t="s">
        <v>245</v>
      </c>
      <c r="N22" s="33">
        <v>4</v>
      </c>
      <c r="O22" s="33">
        <v>4</v>
      </c>
      <c r="P22" s="34">
        <v>4</v>
      </c>
      <c r="Q22" s="23">
        <v>20</v>
      </c>
      <c r="R22" s="23" t="s">
        <v>221</v>
      </c>
      <c r="S22" s="23" t="s">
        <v>44</v>
      </c>
    </row>
    <row r="23" spans="1:19" x14ac:dyDescent="0.2">
      <c r="A23" s="4"/>
      <c r="B23" s="8"/>
      <c r="C23" s="7"/>
      <c r="D23" s="62"/>
      <c r="E23" s="7"/>
      <c r="F23" s="8"/>
      <c r="G23" s="10"/>
      <c r="H23" s="18"/>
      <c r="I23" s="19"/>
      <c r="J23" s="19"/>
      <c r="K23" s="25" t="s">
        <v>65</v>
      </c>
      <c r="L23" s="36" t="s">
        <v>115</v>
      </c>
      <c r="M23" s="33" t="s">
        <v>44</v>
      </c>
      <c r="N23" s="33">
        <v>64</v>
      </c>
      <c r="O23" s="33">
        <f t="shared" si="0"/>
        <v>64</v>
      </c>
      <c r="P23" s="34">
        <f t="shared" si="0"/>
        <v>64</v>
      </c>
      <c r="Q23" s="23">
        <v>64</v>
      </c>
      <c r="R23" s="23" t="s">
        <v>222</v>
      </c>
      <c r="S23" s="23" t="s">
        <v>44</v>
      </c>
    </row>
    <row r="24" spans="1:19" x14ac:dyDescent="0.2">
      <c r="A24" s="4"/>
      <c r="B24" s="8"/>
      <c r="C24" s="7"/>
      <c r="D24" s="62"/>
      <c r="E24" s="7"/>
      <c r="F24" s="8"/>
      <c r="G24" s="10"/>
      <c r="H24" s="18"/>
      <c r="I24" s="19"/>
      <c r="J24" s="19"/>
      <c r="K24" s="25" t="s">
        <v>66</v>
      </c>
      <c r="L24" s="36" t="s">
        <v>116</v>
      </c>
      <c r="M24" s="33" t="s">
        <v>55</v>
      </c>
      <c r="N24" s="33">
        <v>4</v>
      </c>
      <c r="O24" s="33">
        <f t="shared" si="0"/>
        <v>4</v>
      </c>
      <c r="P24" s="34">
        <f t="shared" si="0"/>
        <v>4</v>
      </c>
      <c r="Q24" s="23">
        <v>8</v>
      </c>
      <c r="R24" s="23" t="s">
        <v>221</v>
      </c>
      <c r="S24" s="23" t="s">
        <v>44</v>
      </c>
    </row>
    <row r="25" spans="1:19" x14ac:dyDescent="0.2">
      <c r="A25" s="4"/>
      <c r="B25" s="8"/>
      <c r="C25" s="7"/>
      <c r="D25" s="62"/>
      <c r="E25" s="7"/>
      <c r="F25" s="8"/>
      <c r="G25" s="58"/>
      <c r="H25" s="51" t="s">
        <v>217</v>
      </c>
      <c r="I25" s="46">
        <v>1</v>
      </c>
      <c r="J25" s="46">
        <v>1</v>
      </c>
      <c r="K25" s="25" t="s">
        <v>67</v>
      </c>
      <c r="L25" s="36" t="s">
        <v>38</v>
      </c>
      <c r="M25" s="33" t="s">
        <v>54</v>
      </c>
      <c r="N25" s="33">
        <v>64</v>
      </c>
      <c r="O25" s="33">
        <f t="shared" si="0"/>
        <v>64</v>
      </c>
      <c r="P25" s="34">
        <f t="shared" si="0"/>
        <v>64</v>
      </c>
      <c r="Q25" s="23">
        <v>64</v>
      </c>
      <c r="R25" s="23" t="s">
        <v>222</v>
      </c>
      <c r="S25" s="23" t="s">
        <v>44</v>
      </c>
    </row>
    <row r="26" spans="1:19" x14ac:dyDescent="0.2">
      <c r="A26" s="4"/>
      <c r="B26" s="8"/>
      <c r="C26" s="7"/>
      <c r="D26" s="63"/>
      <c r="E26" s="7"/>
      <c r="F26" s="8"/>
      <c r="G26" s="60"/>
      <c r="H26" s="53"/>
      <c r="I26" s="48"/>
      <c r="J26" s="48"/>
      <c r="K26" s="25" t="s">
        <v>68</v>
      </c>
      <c r="L26" s="36" t="s">
        <v>85</v>
      </c>
      <c r="M26" s="33" t="s">
        <v>42</v>
      </c>
      <c r="N26" s="33">
        <v>64</v>
      </c>
      <c r="O26" s="33">
        <f t="shared" si="0"/>
        <v>64</v>
      </c>
      <c r="P26" s="34">
        <f t="shared" si="0"/>
        <v>64</v>
      </c>
      <c r="Q26" s="23">
        <v>64</v>
      </c>
      <c r="R26" s="23" t="s">
        <v>222</v>
      </c>
      <c r="S26" s="23" t="s">
        <v>44</v>
      </c>
    </row>
  </sheetData>
  <mergeCells count="14">
    <mergeCell ref="A6:B6"/>
    <mergeCell ref="D8:D26"/>
    <mergeCell ref="J8:J13"/>
    <mergeCell ref="I8:I13"/>
    <mergeCell ref="H8:H13"/>
    <mergeCell ref="G8:G13"/>
    <mergeCell ref="J16:J17"/>
    <mergeCell ref="G16:G17"/>
    <mergeCell ref="H16:H17"/>
    <mergeCell ref="I16:I17"/>
    <mergeCell ref="J25:J26"/>
    <mergeCell ref="G25:G26"/>
    <mergeCell ref="H25:H26"/>
    <mergeCell ref="I25:I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S48"/>
  <sheetViews>
    <sheetView view="pageLayout" topLeftCell="E38" zoomScale="160" zoomScaleNormal="100" zoomScalePageLayoutView="160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7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7" width="5.125" customWidth="1"/>
    <col min="18" max="18" width="3.87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64" t="s">
        <v>104</v>
      </c>
      <c r="E8" s="7"/>
      <c r="F8" s="8"/>
      <c r="G8" s="58"/>
      <c r="H8" s="51" t="s">
        <v>83</v>
      </c>
      <c r="I8" s="46">
        <v>1</v>
      </c>
      <c r="J8" s="46">
        <v>1</v>
      </c>
      <c r="K8" s="25" t="s">
        <v>19</v>
      </c>
      <c r="L8" s="22" t="s">
        <v>82</v>
      </c>
      <c r="M8" s="26" t="s">
        <v>227</v>
      </c>
      <c r="N8" s="24">
        <v>6</v>
      </c>
      <c r="O8" s="24">
        <f>N8</f>
        <v>6</v>
      </c>
      <c r="P8" s="23">
        <f>O8</f>
        <v>6</v>
      </c>
      <c r="Q8" s="23">
        <v>7</v>
      </c>
      <c r="R8" s="23" t="s">
        <v>221</v>
      </c>
      <c r="S8" s="23" t="s">
        <v>44</v>
      </c>
    </row>
    <row r="9" spans="1:19" ht="14.25" customHeight="1" x14ac:dyDescent="0.2">
      <c r="A9" s="9"/>
      <c r="B9" s="24"/>
      <c r="C9" s="9"/>
      <c r="D9" s="65"/>
      <c r="E9" s="7"/>
      <c r="F9" s="8"/>
      <c r="G9" s="59"/>
      <c r="H9" s="52"/>
      <c r="I9" s="47"/>
      <c r="J9" s="47"/>
      <c r="K9" s="25" t="s">
        <v>21</v>
      </c>
      <c r="L9" s="43" t="s">
        <v>228</v>
      </c>
      <c r="M9" s="26" t="s">
        <v>229</v>
      </c>
      <c r="N9" s="24">
        <v>3</v>
      </c>
      <c r="O9" s="24">
        <f t="shared" ref="O9:P27" si="0">N9</f>
        <v>3</v>
      </c>
      <c r="P9" s="23">
        <f t="shared" si="0"/>
        <v>3</v>
      </c>
      <c r="Q9" s="23">
        <v>2.6</v>
      </c>
      <c r="R9" s="23" t="s">
        <v>221</v>
      </c>
      <c r="S9" s="23" t="s">
        <v>44</v>
      </c>
    </row>
    <row r="10" spans="1:19" ht="14.25" customHeight="1" x14ac:dyDescent="0.2">
      <c r="A10" s="4"/>
      <c r="B10" s="8"/>
      <c r="C10" s="7"/>
      <c r="D10" s="65"/>
      <c r="E10" s="7"/>
      <c r="F10" s="8"/>
      <c r="G10" s="59"/>
      <c r="H10" s="52"/>
      <c r="I10" s="47"/>
      <c r="J10" s="47"/>
      <c r="K10" s="25" t="s">
        <v>23</v>
      </c>
      <c r="L10" s="22" t="s">
        <v>83</v>
      </c>
      <c r="M10" s="26" t="s">
        <v>84</v>
      </c>
      <c r="N10" s="24">
        <v>5</v>
      </c>
      <c r="O10" s="24">
        <f t="shared" si="0"/>
        <v>5</v>
      </c>
      <c r="P10" s="23">
        <f t="shared" si="0"/>
        <v>5</v>
      </c>
      <c r="Q10" s="23">
        <v>2.5</v>
      </c>
      <c r="R10" s="23" t="s">
        <v>221</v>
      </c>
      <c r="S10" s="23" t="s">
        <v>44</v>
      </c>
    </row>
    <row r="11" spans="1:19" ht="14.25" customHeight="1" x14ac:dyDescent="0.2">
      <c r="A11" s="8"/>
      <c r="B11" s="8"/>
      <c r="C11" s="8"/>
      <c r="D11" s="65"/>
      <c r="E11" s="8"/>
      <c r="F11" s="8"/>
      <c r="G11" s="59"/>
      <c r="H11" s="52"/>
      <c r="I11" s="47"/>
      <c r="J11" s="47"/>
      <c r="K11" s="25" t="s">
        <v>26</v>
      </c>
      <c r="L11" s="22" t="s">
        <v>38</v>
      </c>
      <c r="M11" s="26" t="s">
        <v>81</v>
      </c>
      <c r="N11" s="24">
        <v>24</v>
      </c>
      <c r="O11" s="24">
        <f t="shared" si="0"/>
        <v>24</v>
      </c>
      <c r="P11" s="23">
        <f t="shared" si="0"/>
        <v>24</v>
      </c>
      <c r="Q11" s="23">
        <v>24</v>
      </c>
      <c r="R11" s="23" t="s">
        <v>222</v>
      </c>
      <c r="S11" s="23" t="s">
        <v>44</v>
      </c>
    </row>
    <row r="12" spans="1:19" ht="14.25" customHeight="1" x14ac:dyDescent="0.2">
      <c r="A12" s="4"/>
      <c r="B12" s="8"/>
      <c r="C12" s="7"/>
      <c r="D12" s="65"/>
      <c r="E12" s="7"/>
      <c r="F12" s="8"/>
      <c r="G12" s="60"/>
      <c r="H12" s="53"/>
      <c r="I12" s="48"/>
      <c r="J12" s="48"/>
      <c r="K12" s="25" t="s">
        <v>29</v>
      </c>
      <c r="L12" s="22" t="s">
        <v>85</v>
      </c>
      <c r="M12" s="26" t="s">
        <v>80</v>
      </c>
      <c r="N12" s="24">
        <v>24</v>
      </c>
      <c r="O12" s="24">
        <f t="shared" si="0"/>
        <v>24</v>
      </c>
      <c r="P12" s="23">
        <f t="shared" si="0"/>
        <v>24</v>
      </c>
      <c r="Q12" s="23">
        <v>24</v>
      </c>
      <c r="R12" s="23" t="s">
        <v>222</v>
      </c>
      <c r="S12" s="23" t="s">
        <v>44</v>
      </c>
    </row>
    <row r="13" spans="1:19" ht="14.25" customHeight="1" x14ac:dyDescent="0.2">
      <c r="A13" s="4"/>
      <c r="B13" s="8"/>
      <c r="C13" s="7"/>
      <c r="D13" s="65"/>
      <c r="E13" s="7"/>
      <c r="F13" s="8"/>
      <c r="G13" s="58"/>
      <c r="H13" s="51" t="s">
        <v>86</v>
      </c>
      <c r="I13" s="46">
        <v>1</v>
      </c>
      <c r="J13" s="46">
        <v>1</v>
      </c>
      <c r="K13" s="25" t="s">
        <v>32</v>
      </c>
      <c r="L13" s="22" t="s">
        <v>87</v>
      </c>
      <c r="M13" s="26" t="s">
        <v>230</v>
      </c>
      <c r="N13" s="24">
        <v>4</v>
      </c>
      <c r="O13" s="24">
        <f t="shared" si="0"/>
        <v>4</v>
      </c>
      <c r="P13" s="23">
        <f t="shared" si="0"/>
        <v>4</v>
      </c>
      <c r="Q13" s="23">
        <v>14</v>
      </c>
      <c r="R13" s="23" t="s">
        <v>221</v>
      </c>
      <c r="S13" s="23" t="s">
        <v>44</v>
      </c>
    </row>
    <row r="14" spans="1:19" ht="14.25" customHeight="1" x14ac:dyDescent="0.2">
      <c r="A14" s="4"/>
      <c r="B14" s="8"/>
      <c r="C14" s="7"/>
      <c r="D14" s="65"/>
      <c r="E14" s="7"/>
      <c r="F14" s="8"/>
      <c r="G14" s="60"/>
      <c r="H14" s="53"/>
      <c r="I14" s="48"/>
      <c r="J14" s="48"/>
      <c r="K14" s="25" t="s">
        <v>35</v>
      </c>
      <c r="L14" s="22" t="s">
        <v>88</v>
      </c>
      <c r="M14" s="26" t="s">
        <v>89</v>
      </c>
      <c r="N14" s="24">
        <v>20</v>
      </c>
      <c r="O14" s="24">
        <f t="shared" si="0"/>
        <v>20</v>
      </c>
      <c r="P14" s="23">
        <f t="shared" si="0"/>
        <v>20</v>
      </c>
      <c r="Q14" s="23">
        <v>5</v>
      </c>
      <c r="R14" s="23" t="s">
        <v>221</v>
      </c>
      <c r="S14" s="23" t="s">
        <v>44</v>
      </c>
    </row>
    <row r="15" spans="1:19" ht="14.25" customHeight="1" x14ac:dyDescent="0.2">
      <c r="A15" s="4"/>
      <c r="B15" s="8"/>
      <c r="C15" s="7"/>
      <c r="D15" s="65"/>
      <c r="E15" s="7"/>
      <c r="F15" s="8"/>
      <c r="G15" s="10"/>
      <c r="H15" s="18"/>
      <c r="I15" s="19"/>
      <c r="J15" s="19"/>
      <c r="K15" s="25" t="s">
        <v>37</v>
      </c>
      <c r="L15" s="22" t="s">
        <v>90</v>
      </c>
      <c r="M15" s="26" t="s">
        <v>232</v>
      </c>
      <c r="N15" s="24">
        <v>4</v>
      </c>
      <c r="O15" s="24">
        <f t="shared" si="0"/>
        <v>4</v>
      </c>
      <c r="P15" s="23">
        <f t="shared" si="0"/>
        <v>4</v>
      </c>
      <c r="Q15" s="23">
        <v>10</v>
      </c>
      <c r="R15" s="23" t="s">
        <v>221</v>
      </c>
      <c r="S15" s="23" t="s">
        <v>44</v>
      </c>
    </row>
    <row r="16" spans="1:19" ht="14.25" customHeight="1" x14ac:dyDescent="0.2">
      <c r="A16" s="4"/>
      <c r="B16" s="8"/>
      <c r="C16" s="7"/>
      <c r="D16" s="65"/>
      <c r="E16" s="7"/>
      <c r="F16" s="8"/>
      <c r="G16" s="10"/>
      <c r="H16" s="18"/>
      <c r="I16" s="19"/>
      <c r="J16" s="19"/>
      <c r="K16" s="25" t="s">
        <v>40</v>
      </c>
      <c r="L16" s="43" t="s">
        <v>231</v>
      </c>
      <c r="M16" s="26" t="s">
        <v>233</v>
      </c>
      <c r="N16" s="24">
        <v>2</v>
      </c>
      <c r="O16" s="24">
        <f t="shared" si="0"/>
        <v>2</v>
      </c>
      <c r="P16" s="23">
        <f t="shared" si="0"/>
        <v>2</v>
      </c>
      <c r="Q16" s="23">
        <v>5.6</v>
      </c>
      <c r="R16" s="23" t="s">
        <v>221</v>
      </c>
      <c r="S16" s="23"/>
    </row>
    <row r="17" spans="1:19" ht="14.25" customHeight="1" x14ac:dyDescent="0.2">
      <c r="A17" s="4"/>
      <c r="B17" s="8"/>
      <c r="C17" s="7"/>
      <c r="D17" s="65"/>
      <c r="E17" s="7"/>
      <c r="F17" s="8"/>
      <c r="G17" s="10"/>
      <c r="H17" s="18"/>
      <c r="I17" s="19"/>
      <c r="J17" s="19"/>
      <c r="K17" s="25" t="s">
        <v>51</v>
      </c>
      <c r="L17" s="22" t="s">
        <v>91</v>
      </c>
      <c r="M17" s="24" t="s">
        <v>234</v>
      </c>
      <c r="N17" s="24">
        <v>4</v>
      </c>
      <c r="O17" s="24">
        <f t="shared" si="0"/>
        <v>4</v>
      </c>
      <c r="P17" s="23">
        <f t="shared" si="0"/>
        <v>4</v>
      </c>
      <c r="Q17" s="23">
        <v>9</v>
      </c>
      <c r="R17" s="23" t="s">
        <v>221</v>
      </c>
      <c r="S17" s="23" t="s">
        <v>44</v>
      </c>
    </row>
    <row r="18" spans="1:19" ht="14.25" customHeight="1" x14ac:dyDescent="0.2">
      <c r="A18" s="4"/>
      <c r="B18" s="8"/>
      <c r="C18" s="7"/>
      <c r="D18" s="65"/>
      <c r="E18" s="7"/>
      <c r="F18" s="8"/>
      <c r="G18" s="10"/>
      <c r="H18" s="18"/>
      <c r="I18" s="19"/>
      <c r="J18" s="19"/>
      <c r="K18" s="25" t="s">
        <v>52</v>
      </c>
      <c r="L18" s="22" t="s">
        <v>38</v>
      </c>
      <c r="M18" s="24" t="s">
        <v>92</v>
      </c>
      <c r="N18" s="24">
        <v>35</v>
      </c>
      <c r="O18" s="24">
        <f t="shared" si="0"/>
        <v>35</v>
      </c>
      <c r="P18" s="23">
        <f t="shared" si="0"/>
        <v>35</v>
      </c>
      <c r="Q18" s="23">
        <v>35</v>
      </c>
      <c r="R18" s="23" t="s">
        <v>222</v>
      </c>
      <c r="S18" s="23" t="s">
        <v>44</v>
      </c>
    </row>
    <row r="19" spans="1:19" ht="14.25" customHeight="1" x14ac:dyDescent="0.2">
      <c r="A19" s="4"/>
      <c r="B19" s="8"/>
      <c r="C19" s="7"/>
      <c r="D19" s="65"/>
      <c r="E19" s="7"/>
      <c r="F19" s="8"/>
      <c r="G19" s="10"/>
      <c r="H19" s="18"/>
      <c r="I19" s="19"/>
      <c r="J19" s="19"/>
      <c r="K19" s="25" t="s">
        <v>53</v>
      </c>
      <c r="L19" s="22" t="s">
        <v>85</v>
      </c>
      <c r="M19" s="24" t="s">
        <v>42</v>
      </c>
      <c r="N19" s="24">
        <v>35</v>
      </c>
      <c r="O19" s="24">
        <f t="shared" si="0"/>
        <v>35</v>
      </c>
      <c r="P19" s="23">
        <f t="shared" si="0"/>
        <v>35</v>
      </c>
      <c r="Q19" s="23">
        <v>35</v>
      </c>
      <c r="R19" s="23" t="s">
        <v>222</v>
      </c>
      <c r="S19" s="23" t="s">
        <v>44</v>
      </c>
    </row>
    <row r="20" spans="1:19" ht="14.25" customHeight="1" x14ac:dyDescent="0.2">
      <c r="A20" s="4"/>
      <c r="B20" s="8"/>
      <c r="C20" s="7"/>
      <c r="D20" s="65"/>
      <c r="E20" s="7"/>
      <c r="F20" s="8"/>
      <c r="G20" s="10"/>
      <c r="H20" s="18"/>
      <c r="I20" s="19"/>
      <c r="J20" s="19"/>
      <c r="K20" s="25" t="s">
        <v>57</v>
      </c>
      <c r="L20" s="22" t="s">
        <v>93</v>
      </c>
      <c r="M20" s="24" t="s">
        <v>71</v>
      </c>
      <c r="N20" s="24">
        <v>2</v>
      </c>
      <c r="O20" s="24">
        <f t="shared" si="0"/>
        <v>2</v>
      </c>
      <c r="P20" s="23">
        <f t="shared" si="0"/>
        <v>2</v>
      </c>
      <c r="Q20" s="23">
        <v>1</v>
      </c>
      <c r="R20" s="23" t="s">
        <v>222</v>
      </c>
      <c r="S20" s="23" t="s">
        <v>44</v>
      </c>
    </row>
    <row r="21" spans="1:19" ht="14.25" customHeight="1" x14ac:dyDescent="0.2">
      <c r="A21" s="4"/>
      <c r="B21" s="8"/>
      <c r="C21" s="7"/>
      <c r="D21" s="65"/>
      <c r="E21" s="7"/>
      <c r="F21" s="8"/>
      <c r="G21" s="10"/>
      <c r="H21" s="18"/>
      <c r="I21" s="19"/>
      <c r="J21" s="19"/>
      <c r="K21" s="25" t="s">
        <v>58</v>
      </c>
      <c r="L21" s="22" t="s">
        <v>38</v>
      </c>
      <c r="M21" s="23" t="s">
        <v>81</v>
      </c>
      <c r="N21" s="23">
        <v>64</v>
      </c>
      <c r="O21" s="24">
        <f t="shared" si="0"/>
        <v>64</v>
      </c>
      <c r="P21" s="23">
        <f t="shared" si="0"/>
        <v>64</v>
      </c>
      <c r="Q21" s="23">
        <v>64</v>
      </c>
      <c r="R21" s="23" t="s">
        <v>222</v>
      </c>
      <c r="S21" s="23" t="s">
        <v>44</v>
      </c>
    </row>
    <row r="22" spans="1:19" ht="14.25" customHeight="1" x14ac:dyDescent="0.2">
      <c r="A22" s="4"/>
      <c r="B22" s="8"/>
      <c r="C22" s="7"/>
      <c r="D22" s="65"/>
      <c r="E22" s="7"/>
      <c r="F22" s="8"/>
      <c r="G22" s="10"/>
      <c r="H22" s="18"/>
      <c r="I22" s="19"/>
      <c r="J22" s="19"/>
      <c r="K22" s="25" t="s">
        <v>64</v>
      </c>
      <c r="L22" s="22" t="s">
        <v>94</v>
      </c>
      <c r="M22" s="23" t="s">
        <v>80</v>
      </c>
      <c r="N22" s="23">
        <v>64</v>
      </c>
      <c r="O22" s="24">
        <f t="shared" si="0"/>
        <v>64</v>
      </c>
      <c r="P22" s="23">
        <f t="shared" si="0"/>
        <v>64</v>
      </c>
      <c r="Q22" s="23">
        <v>64</v>
      </c>
      <c r="R22" s="23" t="s">
        <v>222</v>
      </c>
      <c r="S22" s="23" t="s">
        <v>44</v>
      </c>
    </row>
    <row r="23" spans="1:19" ht="14.25" customHeight="1" x14ac:dyDescent="0.2">
      <c r="A23" s="4"/>
      <c r="B23" s="8"/>
      <c r="C23" s="7"/>
      <c r="D23" s="65"/>
      <c r="E23" s="7"/>
      <c r="F23" s="8"/>
      <c r="G23" s="10"/>
      <c r="H23" s="18"/>
      <c r="I23" s="19"/>
      <c r="J23" s="19"/>
      <c r="K23" s="25" t="s">
        <v>65</v>
      </c>
      <c r="L23" s="22" t="s">
        <v>38</v>
      </c>
      <c r="M23" s="23" t="s">
        <v>95</v>
      </c>
      <c r="N23" s="23">
        <v>20</v>
      </c>
      <c r="O23" s="24">
        <f t="shared" si="0"/>
        <v>20</v>
      </c>
      <c r="P23" s="23">
        <f t="shared" si="0"/>
        <v>20</v>
      </c>
      <c r="Q23" s="23">
        <v>20</v>
      </c>
      <c r="R23" s="23" t="s">
        <v>222</v>
      </c>
      <c r="S23" s="23" t="s">
        <v>44</v>
      </c>
    </row>
    <row r="24" spans="1:19" x14ac:dyDescent="0.2">
      <c r="A24" s="4"/>
      <c r="B24" s="8"/>
      <c r="C24" s="7"/>
      <c r="D24" s="65"/>
      <c r="E24" s="7"/>
      <c r="F24" s="8"/>
      <c r="G24" s="10"/>
      <c r="H24" s="18"/>
      <c r="I24" s="19"/>
      <c r="J24" s="19"/>
      <c r="K24" s="25" t="s">
        <v>66</v>
      </c>
      <c r="L24" s="22" t="s">
        <v>38</v>
      </c>
      <c r="M24" s="23" t="s">
        <v>92</v>
      </c>
      <c r="N24" s="23">
        <v>35</v>
      </c>
      <c r="O24" s="24">
        <f t="shared" si="0"/>
        <v>35</v>
      </c>
      <c r="P24" s="23">
        <f t="shared" si="0"/>
        <v>35</v>
      </c>
      <c r="Q24" s="23">
        <v>35</v>
      </c>
      <c r="R24" s="23" t="s">
        <v>222</v>
      </c>
      <c r="S24" s="23" t="s">
        <v>44</v>
      </c>
    </row>
    <row r="25" spans="1:19" x14ac:dyDescent="0.2">
      <c r="A25" s="4"/>
      <c r="B25" s="8"/>
      <c r="C25" s="7"/>
      <c r="D25" s="65"/>
      <c r="E25" s="7"/>
      <c r="F25" s="8"/>
      <c r="G25" s="10"/>
      <c r="H25" s="18"/>
      <c r="I25" s="19"/>
      <c r="J25" s="19"/>
      <c r="K25" s="25" t="s">
        <v>67</v>
      </c>
      <c r="L25" s="22" t="s">
        <v>94</v>
      </c>
      <c r="M25" s="23" t="s">
        <v>42</v>
      </c>
      <c r="N25" s="23">
        <v>35</v>
      </c>
      <c r="O25" s="24">
        <f t="shared" si="0"/>
        <v>35</v>
      </c>
      <c r="P25" s="23">
        <f t="shared" si="0"/>
        <v>35</v>
      </c>
      <c r="Q25" s="23">
        <v>35</v>
      </c>
      <c r="R25" s="23" t="s">
        <v>222</v>
      </c>
      <c r="S25" s="23" t="s">
        <v>44</v>
      </c>
    </row>
    <row r="26" spans="1:19" x14ac:dyDescent="0.2">
      <c r="A26" s="4"/>
      <c r="B26" s="8"/>
      <c r="C26" s="7"/>
      <c r="D26" s="65"/>
      <c r="E26" s="7"/>
      <c r="F26" s="8"/>
      <c r="G26" s="10"/>
      <c r="H26" s="18"/>
      <c r="I26" s="19"/>
      <c r="J26" s="19"/>
      <c r="K26" s="25" t="s">
        <v>68</v>
      </c>
      <c r="L26" s="22" t="s">
        <v>96</v>
      </c>
      <c r="M26" s="23" t="s">
        <v>25</v>
      </c>
      <c r="N26" s="23">
        <v>30</v>
      </c>
      <c r="O26" s="24">
        <f t="shared" si="0"/>
        <v>30</v>
      </c>
      <c r="P26" s="23">
        <f t="shared" si="0"/>
        <v>30</v>
      </c>
      <c r="Q26" s="23">
        <v>30</v>
      </c>
      <c r="R26" s="23" t="s">
        <v>222</v>
      </c>
      <c r="S26" s="23" t="s">
        <v>44</v>
      </c>
    </row>
    <row r="27" spans="1:19" x14ac:dyDescent="0.2">
      <c r="A27" s="4"/>
      <c r="B27" s="8"/>
      <c r="C27" s="7"/>
      <c r="D27" s="66"/>
      <c r="E27" s="7"/>
      <c r="F27" s="8"/>
      <c r="G27" s="10"/>
      <c r="H27" s="18"/>
      <c r="I27" s="19"/>
      <c r="J27" s="19"/>
      <c r="K27" s="25" t="s">
        <v>69</v>
      </c>
      <c r="L27" s="22" t="s">
        <v>79</v>
      </c>
      <c r="M27" s="23" t="s">
        <v>97</v>
      </c>
      <c r="N27" s="23">
        <v>30</v>
      </c>
      <c r="O27" s="24">
        <f t="shared" si="0"/>
        <v>30</v>
      </c>
      <c r="P27" s="23">
        <f t="shared" si="0"/>
        <v>30</v>
      </c>
      <c r="Q27" s="23">
        <v>30</v>
      </c>
      <c r="R27" s="23" t="s">
        <v>222</v>
      </c>
      <c r="S27" s="23" t="s">
        <v>44</v>
      </c>
    </row>
    <row r="38" spans="1:19" ht="19.5" x14ac:dyDescent="0.2">
      <c r="A38" s="49" t="s">
        <v>0</v>
      </c>
      <c r="B38" s="50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6" t="s">
        <v>1</v>
      </c>
      <c r="N38" s="12"/>
      <c r="O38" s="12"/>
      <c r="P38" s="12"/>
      <c r="Q38" s="21"/>
      <c r="R38" s="21"/>
      <c r="S38" s="17" t="s">
        <v>15</v>
      </c>
    </row>
    <row r="39" spans="1:19" ht="45" x14ac:dyDescent="0.2">
      <c r="A39" s="29" t="s">
        <v>2</v>
      </c>
      <c r="B39" s="30" t="s">
        <v>3</v>
      </c>
      <c r="C39" s="30" t="s">
        <v>4</v>
      </c>
      <c r="D39" s="31" t="s">
        <v>5</v>
      </c>
      <c r="E39" s="30" t="s">
        <v>6</v>
      </c>
      <c r="F39" s="30" t="s">
        <v>3</v>
      </c>
      <c r="G39" s="30" t="s">
        <v>10</v>
      </c>
      <c r="H39" s="30" t="s">
        <v>5</v>
      </c>
      <c r="I39" s="30" t="s">
        <v>12</v>
      </c>
      <c r="J39" s="30" t="s">
        <v>11</v>
      </c>
      <c r="K39" s="32" t="s">
        <v>7</v>
      </c>
      <c r="L39" s="31" t="s">
        <v>5</v>
      </c>
      <c r="M39" s="31" t="s">
        <v>9</v>
      </c>
      <c r="N39" s="30" t="s">
        <v>8</v>
      </c>
      <c r="O39" s="30" t="s">
        <v>6</v>
      </c>
      <c r="P39" s="30" t="s">
        <v>3</v>
      </c>
      <c r="Q39" s="30" t="s">
        <v>17</v>
      </c>
      <c r="R39" s="30" t="s">
        <v>18</v>
      </c>
      <c r="S39" s="31" t="s">
        <v>16</v>
      </c>
    </row>
    <row r="40" spans="1:19" x14ac:dyDescent="0.2">
      <c r="A40" s="9"/>
      <c r="B40" s="24">
        <v>1</v>
      </c>
      <c r="C40" s="9"/>
      <c r="D40" s="24" t="s">
        <v>104</v>
      </c>
      <c r="E40" s="7"/>
      <c r="F40" s="8"/>
      <c r="G40" s="10"/>
      <c r="H40" s="18"/>
      <c r="I40" s="19"/>
      <c r="J40" s="19"/>
      <c r="K40" s="25" t="s">
        <v>72</v>
      </c>
      <c r="L40" s="28" t="s">
        <v>98</v>
      </c>
      <c r="M40" s="33" t="s">
        <v>235</v>
      </c>
      <c r="N40" s="33">
        <v>224</v>
      </c>
      <c r="O40" s="33">
        <f t="shared" ref="O40:O45" si="1">N40*1</f>
        <v>224</v>
      </c>
      <c r="P40" s="34">
        <f t="shared" ref="P40:P45" si="2">N40*1</f>
        <v>224</v>
      </c>
      <c r="Q40" s="23">
        <v>224</v>
      </c>
      <c r="R40" s="23" t="s">
        <v>222</v>
      </c>
      <c r="S40" s="23" t="s">
        <v>44</v>
      </c>
    </row>
    <row r="41" spans="1:19" x14ac:dyDescent="0.2">
      <c r="A41" s="4"/>
      <c r="B41" s="8"/>
      <c r="C41" s="7"/>
      <c r="D41" s="7"/>
      <c r="E41" s="7"/>
      <c r="F41" s="8"/>
      <c r="G41" s="10"/>
      <c r="H41" s="18"/>
      <c r="I41" s="19"/>
      <c r="J41" s="19"/>
      <c r="K41" s="25" t="s">
        <v>73</v>
      </c>
      <c r="L41" s="7" t="s">
        <v>99</v>
      </c>
      <c r="M41" s="24" t="s">
        <v>44</v>
      </c>
      <c r="N41" s="33">
        <v>320</v>
      </c>
      <c r="O41" s="24">
        <f t="shared" si="1"/>
        <v>320</v>
      </c>
      <c r="P41" s="23">
        <f t="shared" si="2"/>
        <v>320</v>
      </c>
      <c r="Q41" s="23">
        <v>320</v>
      </c>
      <c r="R41" s="23" t="s">
        <v>222</v>
      </c>
      <c r="S41" s="23" t="s">
        <v>44</v>
      </c>
    </row>
    <row r="42" spans="1:19" x14ac:dyDescent="0.2">
      <c r="A42" s="8"/>
      <c r="B42" s="8"/>
      <c r="C42" s="8"/>
      <c r="D42" s="8"/>
      <c r="E42" s="8"/>
      <c r="F42" s="8"/>
      <c r="G42" s="10"/>
      <c r="H42" s="18"/>
      <c r="I42" s="19"/>
      <c r="J42" s="19"/>
      <c r="K42" s="25" t="s">
        <v>74</v>
      </c>
      <c r="L42" s="7" t="s">
        <v>85</v>
      </c>
      <c r="M42" s="24" t="s">
        <v>100</v>
      </c>
      <c r="N42" s="33">
        <v>320</v>
      </c>
      <c r="O42" s="24">
        <f t="shared" si="1"/>
        <v>320</v>
      </c>
      <c r="P42" s="23">
        <f t="shared" si="2"/>
        <v>320</v>
      </c>
      <c r="Q42" s="23">
        <v>320</v>
      </c>
      <c r="R42" s="23" t="s">
        <v>222</v>
      </c>
      <c r="S42" s="23" t="s">
        <v>44</v>
      </c>
    </row>
    <row r="43" spans="1:19" x14ac:dyDescent="0.2">
      <c r="A43" s="4"/>
      <c r="B43" s="8"/>
      <c r="C43" s="7"/>
      <c r="D43" s="7"/>
      <c r="E43" s="7"/>
      <c r="F43" s="8"/>
      <c r="G43" s="10"/>
      <c r="H43" s="18"/>
      <c r="I43" s="19"/>
      <c r="J43" s="19"/>
      <c r="K43" s="25" t="s">
        <v>75</v>
      </c>
      <c r="L43" s="7" t="s">
        <v>101</v>
      </c>
      <c r="M43" s="24">
        <v>304</v>
      </c>
      <c r="N43" s="33">
        <v>320</v>
      </c>
      <c r="O43" s="24">
        <f t="shared" si="1"/>
        <v>320</v>
      </c>
      <c r="P43" s="23">
        <f t="shared" si="2"/>
        <v>320</v>
      </c>
      <c r="Q43" s="23">
        <v>320</v>
      </c>
      <c r="R43" s="23" t="s">
        <v>222</v>
      </c>
      <c r="S43" s="23" t="s">
        <v>44</v>
      </c>
    </row>
    <row r="44" spans="1:19" x14ac:dyDescent="0.2">
      <c r="A44" s="4"/>
      <c r="B44" s="8"/>
      <c r="C44" s="7"/>
      <c r="D44" s="7"/>
      <c r="E44" s="7"/>
      <c r="F44" s="8"/>
      <c r="G44" s="10"/>
      <c r="H44" s="18"/>
      <c r="I44" s="19"/>
      <c r="J44" s="19"/>
      <c r="K44" s="25" t="s">
        <v>218</v>
      </c>
      <c r="L44" s="7" t="s">
        <v>102</v>
      </c>
      <c r="M44" s="24" t="s">
        <v>44</v>
      </c>
      <c r="N44" s="33">
        <v>4160</v>
      </c>
      <c r="O44" s="24">
        <f t="shared" si="1"/>
        <v>4160</v>
      </c>
      <c r="P44" s="23">
        <f t="shared" si="2"/>
        <v>4160</v>
      </c>
      <c r="Q44" s="23">
        <v>4160</v>
      </c>
      <c r="R44" s="23" t="s">
        <v>222</v>
      </c>
      <c r="S44" s="23" t="s">
        <v>44</v>
      </c>
    </row>
    <row r="45" spans="1:19" x14ac:dyDescent="0.2">
      <c r="A45" s="4"/>
      <c r="B45" s="8"/>
      <c r="C45" s="7"/>
      <c r="D45" s="7"/>
      <c r="E45" s="7"/>
      <c r="F45" s="8"/>
      <c r="G45" s="10"/>
      <c r="H45" s="18"/>
      <c r="I45" s="19"/>
      <c r="J45" s="19"/>
      <c r="K45" s="25" t="s">
        <v>219</v>
      </c>
      <c r="L45" s="7" t="s">
        <v>103</v>
      </c>
      <c r="M45" s="24" t="s">
        <v>44</v>
      </c>
      <c r="N45" s="33">
        <v>320</v>
      </c>
      <c r="O45" s="24">
        <f t="shared" si="1"/>
        <v>320</v>
      </c>
      <c r="P45" s="23">
        <f t="shared" si="2"/>
        <v>320</v>
      </c>
      <c r="Q45" s="23">
        <v>320</v>
      </c>
      <c r="R45" s="23" t="s">
        <v>222</v>
      </c>
      <c r="S45" s="23" t="s">
        <v>44</v>
      </c>
    </row>
    <row r="46" spans="1:19" x14ac:dyDescent="0.2">
      <c r="A46" s="4"/>
      <c r="B46" s="8"/>
      <c r="C46" s="7"/>
      <c r="D46" s="7"/>
      <c r="E46" s="7"/>
      <c r="F46" s="8"/>
      <c r="G46" s="10"/>
      <c r="H46" s="18"/>
      <c r="I46" s="19"/>
      <c r="J46" s="19"/>
      <c r="K46" s="25" t="s">
        <v>220</v>
      </c>
      <c r="L46" s="7" t="s">
        <v>238</v>
      </c>
      <c r="M46" s="24" t="s">
        <v>240</v>
      </c>
      <c r="N46" s="33">
        <v>2</v>
      </c>
      <c r="O46" s="24">
        <f t="shared" ref="O46:O47" si="3">N46*1</f>
        <v>2</v>
      </c>
      <c r="P46" s="23">
        <f t="shared" ref="P46:P47" si="4">N46*1</f>
        <v>2</v>
      </c>
      <c r="Q46" s="23">
        <v>0.5</v>
      </c>
      <c r="R46" s="23" t="s">
        <v>221</v>
      </c>
      <c r="S46" s="23" t="s">
        <v>44</v>
      </c>
    </row>
    <row r="47" spans="1:19" x14ac:dyDescent="0.2">
      <c r="A47" s="4"/>
      <c r="B47" s="8"/>
      <c r="C47" s="7"/>
      <c r="D47" s="7"/>
      <c r="E47" s="7"/>
      <c r="F47" s="8"/>
      <c r="G47" s="10"/>
      <c r="H47" s="18"/>
      <c r="I47" s="19"/>
      <c r="J47" s="19"/>
      <c r="K47" s="25" t="s">
        <v>236</v>
      </c>
      <c r="L47" s="7" t="s">
        <v>239</v>
      </c>
      <c r="M47" s="24" t="s">
        <v>241</v>
      </c>
      <c r="N47" s="33">
        <v>4</v>
      </c>
      <c r="O47" s="24">
        <f t="shared" si="3"/>
        <v>4</v>
      </c>
      <c r="P47" s="23">
        <f t="shared" si="4"/>
        <v>4</v>
      </c>
      <c r="Q47" s="23">
        <v>0.5</v>
      </c>
      <c r="R47" s="23" t="s">
        <v>221</v>
      </c>
      <c r="S47" s="23" t="s">
        <v>44</v>
      </c>
    </row>
    <row r="48" spans="1:19" x14ac:dyDescent="0.2">
      <c r="A48" s="4"/>
      <c r="B48" s="8"/>
      <c r="C48" s="7"/>
      <c r="D48" s="7"/>
      <c r="E48" s="7"/>
      <c r="F48" s="8"/>
      <c r="G48" s="10"/>
      <c r="H48" s="18"/>
      <c r="I48" s="19"/>
      <c r="J48" s="19"/>
      <c r="K48" s="25" t="s">
        <v>237</v>
      </c>
      <c r="L48" s="7" t="s">
        <v>242</v>
      </c>
      <c r="M48" s="24" t="s">
        <v>243</v>
      </c>
      <c r="N48" s="33">
        <v>4</v>
      </c>
      <c r="O48" s="24">
        <f t="shared" ref="O48" si="5">N48*1</f>
        <v>4</v>
      </c>
      <c r="P48" s="23">
        <f t="shared" ref="P48" si="6">N48*1</f>
        <v>4</v>
      </c>
      <c r="Q48" s="23">
        <v>33</v>
      </c>
      <c r="R48" s="23" t="s">
        <v>221</v>
      </c>
      <c r="S48" s="23" t="s">
        <v>44</v>
      </c>
    </row>
  </sheetData>
  <mergeCells count="11">
    <mergeCell ref="A6:B6"/>
    <mergeCell ref="A38:B38"/>
    <mergeCell ref="J8:J12"/>
    <mergeCell ref="I8:I12"/>
    <mergeCell ref="H8:H12"/>
    <mergeCell ref="G8:G12"/>
    <mergeCell ref="J13:J14"/>
    <mergeCell ref="G13:G14"/>
    <mergeCell ref="H13:H14"/>
    <mergeCell ref="I13:I14"/>
    <mergeCell ref="D8:D2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S22"/>
  <sheetViews>
    <sheetView view="pageLayout" zoomScale="145" zoomScaleNormal="100" zoomScalePageLayoutView="145" workbookViewId="0">
      <selection activeCell="E11" sqref="E11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5.2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1</v>
      </c>
      <c r="C8" s="9"/>
      <c r="D8" s="24" t="s">
        <v>43</v>
      </c>
      <c r="E8" s="7"/>
      <c r="F8" s="8"/>
      <c r="G8" s="10"/>
      <c r="H8" s="18"/>
      <c r="I8" s="19"/>
      <c r="J8" s="19"/>
      <c r="K8" s="25" t="s">
        <v>19</v>
      </c>
      <c r="L8" s="22" t="s">
        <v>20</v>
      </c>
      <c r="M8" s="24" t="s">
        <v>251</v>
      </c>
      <c r="N8" s="24">
        <v>2</v>
      </c>
      <c r="O8" s="24">
        <v>2</v>
      </c>
      <c r="P8" s="23">
        <v>2</v>
      </c>
      <c r="Q8" s="23">
        <v>10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10"/>
      <c r="H9" s="18"/>
      <c r="I9" s="19"/>
      <c r="J9" s="19"/>
      <c r="K9" s="25" t="s">
        <v>21</v>
      </c>
      <c r="L9" s="22" t="s">
        <v>22</v>
      </c>
      <c r="M9" s="24" t="s">
        <v>252</v>
      </c>
      <c r="N9" s="24">
        <v>12</v>
      </c>
      <c r="O9" s="24">
        <v>12</v>
      </c>
      <c r="P9" s="23">
        <v>12</v>
      </c>
      <c r="Q9" s="23">
        <v>36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10"/>
      <c r="H10" s="18"/>
      <c r="I10" s="19"/>
      <c r="J10" s="19"/>
      <c r="K10" s="25" t="s">
        <v>23</v>
      </c>
      <c r="L10" s="22" t="s">
        <v>24</v>
      </c>
      <c r="M10" s="24" t="s">
        <v>25</v>
      </c>
      <c r="N10" s="24">
        <v>30</v>
      </c>
      <c r="O10" s="24">
        <v>30</v>
      </c>
      <c r="P10" s="23">
        <v>30</v>
      </c>
      <c r="Q10" s="23">
        <v>30</v>
      </c>
      <c r="R10" s="23" t="s">
        <v>222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10"/>
      <c r="H11" s="18"/>
      <c r="I11" s="19"/>
      <c r="J11" s="19"/>
      <c r="K11" s="25" t="s">
        <v>26</v>
      </c>
      <c r="L11" s="22" t="s">
        <v>27</v>
      </c>
      <c r="M11" s="24" t="s">
        <v>28</v>
      </c>
      <c r="N11" s="24">
        <v>30</v>
      </c>
      <c r="O11" s="24">
        <v>30</v>
      </c>
      <c r="P11" s="23">
        <v>30</v>
      </c>
      <c r="Q11" s="23">
        <v>30</v>
      </c>
      <c r="R11" s="23" t="s">
        <v>222</v>
      </c>
      <c r="S11" s="23" t="s">
        <v>44</v>
      </c>
    </row>
    <row r="12" spans="1:19" ht="14.25" customHeight="1" x14ac:dyDescent="0.2">
      <c r="A12" s="4"/>
      <c r="B12" s="8"/>
      <c r="C12" s="7"/>
      <c r="D12" s="7"/>
      <c r="E12" s="7"/>
      <c r="F12" s="8"/>
      <c r="G12" s="10"/>
      <c r="H12" s="18"/>
      <c r="I12" s="19"/>
      <c r="J12" s="19"/>
      <c r="K12" s="25" t="s">
        <v>29</v>
      </c>
      <c r="L12" s="22" t="s">
        <v>30</v>
      </c>
      <c r="M12" s="24" t="s">
        <v>31</v>
      </c>
      <c r="N12" s="24">
        <v>89</v>
      </c>
      <c r="O12" s="24">
        <v>89</v>
      </c>
      <c r="P12" s="23">
        <v>89</v>
      </c>
      <c r="Q12" s="23">
        <v>89</v>
      </c>
      <c r="R12" s="23" t="s">
        <v>222</v>
      </c>
      <c r="S12" s="23" t="s">
        <v>44</v>
      </c>
    </row>
    <row r="13" spans="1:19" ht="14.25" customHeight="1" x14ac:dyDescent="0.2">
      <c r="A13" s="4"/>
      <c r="B13" s="8"/>
      <c r="C13" s="7"/>
      <c r="D13" s="7"/>
      <c r="E13" s="7"/>
      <c r="F13" s="8"/>
      <c r="G13" s="10"/>
      <c r="H13" s="18"/>
      <c r="I13" s="19"/>
      <c r="J13" s="19"/>
      <c r="K13" s="25" t="s">
        <v>32</v>
      </c>
      <c r="L13" s="22" t="s">
        <v>33</v>
      </c>
      <c r="M13" s="26" t="s">
        <v>34</v>
      </c>
      <c r="N13" s="24">
        <v>89</v>
      </c>
      <c r="O13" s="24">
        <v>89</v>
      </c>
      <c r="P13" s="23">
        <v>89</v>
      </c>
      <c r="Q13" s="23">
        <v>89</v>
      </c>
      <c r="R13" s="23" t="s">
        <v>222</v>
      </c>
      <c r="S13" s="23" t="s">
        <v>44</v>
      </c>
    </row>
    <row r="14" spans="1:19" ht="14.25" customHeight="1" x14ac:dyDescent="0.2">
      <c r="A14" s="4"/>
      <c r="B14" s="8"/>
      <c r="C14" s="7"/>
      <c r="D14" s="7"/>
      <c r="E14" s="7"/>
      <c r="F14" s="8"/>
      <c r="G14" s="10"/>
      <c r="H14" s="18"/>
      <c r="I14" s="19"/>
      <c r="J14" s="19"/>
      <c r="K14" s="25" t="s">
        <v>35</v>
      </c>
      <c r="L14" s="22" t="s">
        <v>36</v>
      </c>
      <c r="M14" s="26" t="s">
        <v>34</v>
      </c>
      <c r="N14" s="24">
        <v>89</v>
      </c>
      <c r="O14" s="24">
        <v>89</v>
      </c>
      <c r="P14" s="23">
        <v>89</v>
      </c>
      <c r="Q14" s="23">
        <v>89</v>
      </c>
      <c r="R14" s="23" t="s">
        <v>222</v>
      </c>
      <c r="S14" s="23" t="s">
        <v>44</v>
      </c>
    </row>
    <row r="15" spans="1:19" ht="14.25" customHeight="1" x14ac:dyDescent="0.2">
      <c r="A15" s="4"/>
      <c r="B15" s="8"/>
      <c r="C15" s="7"/>
      <c r="D15" s="7"/>
      <c r="E15" s="7"/>
      <c r="F15" s="8"/>
      <c r="G15" s="10"/>
      <c r="H15" s="18"/>
      <c r="I15" s="19"/>
      <c r="J15" s="19"/>
      <c r="K15" s="25" t="s">
        <v>37</v>
      </c>
      <c r="L15" s="22" t="s">
        <v>38</v>
      </c>
      <c r="M15" s="24" t="s">
        <v>39</v>
      </c>
      <c r="N15" s="24">
        <v>89</v>
      </c>
      <c r="O15" s="24">
        <v>89</v>
      </c>
      <c r="P15" s="23">
        <v>89</v>
      </c>
      <c r="Q15" s="23">
        <v>89</v>
      </c>
      <c r="R15" s="23" t="s">
        <v>222</v>
      </c>
      <c r="S15" s="23" t="s">
        <v>44</v>
      </c>
    </row>
    <row r="16" spans="1:19" ht="14.25" customHeight="1" x14ac:dyDescent="0.2">
      <c r="A16" s="4"/>
      <c r="B16" s="8"/>
      <c r="C16" s="7"/>
      <c r="D16" s="7"/>
      <c r="E16" s="7"/>
      <c r="F16" s="8"/>
      <c r="G16" s="10"/>
      <c r="H16" s="18"/>
      <c r="I16" s="19"/>
      <c r="J16" s="19"/>
      <c r="K16" s="25" t="s">
        <v>40</v>
      </c>
      <c r="L16" s="22" t="s">
        <v>41</v>
      </c>
      <c r="M16" s="24" t="s">
        <v>42</v>
      </c>
      <c r="N16" s="24">
        <v>89</v>
      </c>
      <c r="O16" s="24">
        <v>89</v>
      </c>
      <c r="P16" s="23">
        <v>89</v>
      </c>
      <c r="Q16" s="23">
        <v>89</v>
      </c>
      <c r="R16" s="23" t="s">
        <v>222</v>
      </c>
      <c r="S16" s="23" t="s">
        <v>44</v>
      </c>
    </row>
    <row r="17" spans="1:19" ht="14.25" customHeight="1" x14ac:dyDescent="0.2">
      <c r="A17" s="4"/>
      <c r="B17" s="8"/>
      <c r="C17" s="7"/>
      <c r="D17" s="7"/>
      <c r="E17" s="7"/>
      <c r="F17" s="8"/>
      <c r="G17" s="10"/>
      <c r="H17" s="18"/>
      <c r="I17" s="19"/>
      <c r="J17" s="19"/>
      <c r="K17" s="25" t="s">
        <v>51</v>
      </c>
      <c r="L17" s="22" t="s">
        <v>59</v>
      </c>
      <c r="M17" s="24" t="s">
        <v>223</v>
      </c>
      <c r="N17" s="24">
        <v>2</v>
      </c>
      <c r="O17" s="24">
        <v>2</v>
      </c>
      <c r="P17" s="24">
        <v>2</v>
      </c>
      <c r="Q17" s="23">
        <v>1.5</v>
      </c>
      <c r="R17" s="23" t="s">
        <v>221</v>
      </c>
      <c r="S17" s="23" t="s">
        <v>44</v>
      </c>
    </row>
    <row r="18" spans="1:19" ht="14.25" customHeight="1" x14ac:dyDescent="0.2">
      <c r="A18" s="4"/>
      <c r="B18" s="8"/>
      <c r="C18" s="7"/>
      <c r="D18" s="7"/>
      <c r="E18" s="7"/>
      <c r="F18" s="8"/>
      <c r="G18" s="10"/>
      <c r="H18" s="18"/>
      <c r="I18" s="19"/>
      <c r="J18" s="19"/>
      <c r="K18" s="25" t="s">
        <v>52</v>
      </c>
      <c r="L18" s="22" t="s">
        <v>60</v>
      </c>
      <c r="M18" s="24" t="s">
        <v>224</v>
      </c>
      <c r="N18" s="24">
        <v>2</v>
      </c>
      <c r="O18" s="24">
        <v>2</v>
      </c>
      <c r="P18" s="24">
        <v>2</v>
      </c>
      <c r="Q18" s="23">
        <v>2</v>
      </c>
      <c r="R18" s="23" t="s">
        <v>221</v>
      </c>
      <c r="S18" s="23" t="s">
        <v>44</v>
      </c>
    </row>
    <row r="19" spans="1:19" ht="14.25" customHeight="1" x14ac:dyDescent="0.2">
      <c r="A19" s="4"/>
      <c r="B19" s="8"/>
      <c r="C19" s="7"/>
      <c r="D19" s="7"/>
      <c r="E19" s="7"/>
      <c r="F19" s="8"/>
      <c r="G19" s="10"/>
      <c r="H19" s="18"/>
      <c r="I19" s="19"/>
      <c r="J19" s="19"/>
      <c r="K19" s="25" t="s">
        <v>53</v>
      </c>
      <c r="L19" s="22" t="s">
        <v>61</v>
      </c>
      <c r="M19" s="24" t="s">
        <v>223</v>
      </c>
      <c r="N19" s="24">
        <v>2</v>
      </c>
      <c r="O19" s="24">
        <v>2</v>
      </c>
      <c r="P19" s="24">
        <v>2</v>
      </c>
      <c r="Q19" s="23">
        <v>1.5</v>
      </c>
      <c r="R19" s="23" t="s">
        <v>221</v>
      </c>
      <c r="S19" s="23" t="s">
        <v>44</v>
      </c>
    </row>
    <row r="20" spans="1:19" ht="14.25" customHeight="1" x14ac:dyDescent="0.2">
      <c r="A20" s="4"/>
      <c r="B20" s="8"/>
      <c r="C20" s="7"/>
      <c r="D20" s="7"/>
      <c r="E20" s="7"/>
      <c r="F20" s="8"/>
      <c r="G20" s="10"/>
      <c r="H20" s="18"/>
      <c r="I20" s="19"/>
      <c r="J20" s="19"/>
      <c r="K20" s="25" t="s">
        <v>57</v>
      </c>
      <c r="L20" s="22" t="s">
        <v>62</v>
      </c>
      <c r="M20" s="24" t="s">
        <v>224</v>
      </c>
      <c r="N20" s="24">
        <v>2</v>
      </c>
      <c r="O20" s="24">
        <v>2</v>
      </c>
      <c r="P20" s="24">
        <v>2</v>
      </c>
      <c r="Q20" s="23">
        <v>2</v>
      </c>
      <c r="R20" s="23" t="s">
        <v>221</v>
      </c>
      <c r="S20" s="23" t="s">
        <v>44</v>
      </c>
    </row>
    <row r="21" spans="1:19" ht="14.25" customHeight="1" x14ac:dyDescent="0.2">
      <c r="A21" s="4"/>
      <c r="B21" s="8"/>
      <c r="C21" s="7"/>
      <c r="D21" s="7"/>
      <c r="E21" s="7"/>
      <c r="F21" s="8"/>
      <c r="G21" s="10"/>
      <c r="H21" s="18"/>
      <c r="I21" s="19"/>
      <c r="J21" s="19"/>
      <c r="K21" s="25" t="s">
        <v>58</v>
      </c>
      <c r="L21" s="22" t="s">
        <v>63</v>
      </c>
      <c r="M21" s="24" t="s">
        <v>44</v>
      </c>
      <c r="N21" s="24">
        <v>2</v>
      </c>
      <c r="O21" s="24">
        <v>2</v>
      </c>
      <c r="P21" s="24">
        <v>2</v>
      </c>
      <c r="Q21" s="23">
        <v>2</v>
      </c>
      <c r="R21" s="23" t="s">
        <v>222</v>
      </c>
      <c r="S21" s="23" t="s">
        <v>44</v>
      </c>
    </row>
    <row r="22" spans="1:19" x14ac:dyDescent="0.2">
      <c r="I22" s="5"/>
      <c r="J22" s="5"/>
    </row>
  </sheetData>
  <mergeCells count="1">
    <mergeCell ref="A6:B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F13" sqref="F13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51"/>
  <sheetViews>
    <sheetView view="pageLayout" zoomScaleNormal="100" workbookViewId="0">
      <selection activeCell="G144" sqref="G144:G147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6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4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45" t="s">
        <v>1</v>
      </c>
      <c r="N6" s="12"/>
      <c r="O6" s="12"/>
      <c r="P6" s="12"/>
      <c r="Q6" s="17" t="s">
        <v>15</v>
      </c>
    </row>
    <row r="7" spans="1:17" ht="49.15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2" t="s">
        <v>16</v>
      </c>
    </row>
    <row r="8" spans="1:17" ht="14.25" customHeight="1" x14ac:dyDescent="0.2">
      <c r="A8" s="215" t="s">
        <v>311</v>
      </c>
      <c r="B8" s="279">
        <v>2</v>
      </c>
      <c r="C8" s="215" t="s">
        <v>283</v>
      </c>
      <c r="D8" s="261" t="s">
        <v>568</v>
      </c>
      <c r="E8" s="278">
        <v>1</v>
      </c>
      <c r="F8" s="279">
        <f>E8*B8</f>
        <v>2</v>
      </c>
      <c r="G8" s="222" t="s">
        <v>283</v>
      </c>
      <c r="H8" s="262" t="s">
        <v>569</v>
      </c>
      <c r="I8" s="46">
        <v>1</v>
      </c>
      <c r="J8" s="46">
        <f>I8*F8</f>
        <v>2</v>
      </c>
      <c r="K8" s="275" t="s">
        <v>283</v>
      </c>
      <c r="L8" s="36" t="s">
        <v>570</v>
      </c>
      <c r="M8" s="26" t="s">
        <v>571</v>
      </c>
      <c r="N8" s="24">
        <v>1</v>
      </c>
      <c r="O8" s="24">
        <f t="shared" ref="O8:O13" si="0">N8*$E$8</f>
        <v>1</v>
      </c>
      <c r="P8" s="23">
        <f t="shared" ref="P8:P13" si="1">O8*$B$8</f>
        <v>2</v>
      </c>
      <c r="Q8" s="150"/>
    </row>
    <row r="9" spans="1:17" ht="14.25" customHeight="1" x14ac:dyDescent="0.2">
      <c r="A9" s="215"/>
      <c r="B9" s="279"/>
      <c r="C9" s="215"/>
      <c r="D9" s="261"/>
      <c r="E9" s="278"/>
      <c r="F9" s="279"/>
      <c r="G9" s="223"/>
      <c r="H9" s="263"/>
      <c r="I9" s="47"/>
      <c r="J9" s="47"/>
      <c r="K9" s="275" t="s">
        <v>292</v>
      </c>
      <c r="L9" s="36" t="s">
        <v>572</v>
      </c>
      <c r="M9" s="24" t="s">
        <v>573</v>
      </c>
      <c r="N9" s="24">
        <v>1</v>
      </c>
      <c r="O9" s="24">
        <f t="shared" si="0"/>
        <v>1</v>
      </c>
      <c r="P9" s="23">
        <f t="shared" si="1"/>
        <v>2</v>
      </c>
      <c r="Q9" s="150"/>
    </row>
    <row r="10" spans="1:17" ht="14.25" customHeight="1" x14ac:dyDescent="0.2">
      <c r="A10" s="215"/>
      <c r="B10" s="279"/>
      <c r="C10" s="215"/>
      <c r="D10" s="261"/>
      <c r="E10" s="278"/>
      <c r="F10" s="279"/>
      <c r="G10" s="223"/>
      <c r="H10" s="263"/>
      <c r="I10" s="47"/>
      <c r="J10" s="47"/>
      <c r="K10" s="275" t="s">
        <v>282</v>
      </c>
      <c r="L10" s="36" t="s">
        <v>574</v>
      </c>
      <c r="M10" s="26" t="s">
        <v>392</v>
      </c>
      <c r="N10" s="24">
        <v>1</v>
      </c>
      <c r="O10" s="24">
        <f t="shared" si="0"/>
        <v>1</v>
      </c>
      <c r="P10" s="23">
        <f t="shared" si="1"/>
        <v>2</v>
      </c>
      <c r="Q10" s="150"/>
    </row>
    <row r="11" spans="1:17" ht="14.25" customHeight="1" x14ac:dyDescent="0.2">
      <c r="A11" s="215"/>
      <c r="B11" s="279"/>
      <c r="C11" s="215"/>
      <c r="D11" s="261"/>
      <c r="E11" s="278"/>
      <c r="F11" s="279"/>
      <c r="G11" s="224"/>
      <c r="H11" s="264"/>
      <c r="I11" s="48"/>
      <c r="J11" s="48"/>
      <c r="K11" s="275" t="s">
        <v>283</v>
      </c>
      <c r="L11" s="36" t="s">
        <v>362</v>
      </c>
      <c r="M11" s="26" t="s">
        <v>575</v>
      </c>
      <c r="N11" s="24">
        <v>1</v>
      </c>
      <c r="O11" s="24">
        <f t="shared" si="0"/>
        <v>1</v>
      </c>
      <c r="P11" s="23">
        <f t="shared" si="1"/>
        <v>2</v>
      </c>
      <c r="Q11" s="150"/>
    </row>
    <row r="12" spans="1:17" ht="16.5" x14ac:dyDescent="0.35">
      <c r="A12" s="215"/>
      <c r="B12" s="279"/>
      <c r="C12" s="215"/>
      <c r="D12" s="261"/>
      <c r="E12" s="278"/>
      <c r="F12" s="279"/>
      <c r="G12" s="222" t="s">
        <v>292</v>
      </c>
      <c r="H12" s="51" t="s">
        <v>217</v>
      </c>
      <c r="I12" s="276">
        <v>1</v>
      </c>
      <c r="J12" s="276">
        <f>I12*F8</f>
        <v>2</v>
      </c>
      <c r="K12" s="275" t="s">
        <v>283</v>
      </c>
      <c r="L12" s="36" t="s">
        <v>576</v>
      </c>
      <c r="M12" s="24" t="s">
        <v>377</v>
      </c>
      <c r="N12" s="23">
        <v>4</v>
      </c>
      <c r="O12" s="23">
        <f t="shared" si="0"/>
        <v>4</v>
      </c>
      <c r="P12" s="23">
        <f t="shared" si="1"/>
        <v>8</v>
      </c>
      <c r="Q12" s="265"/>
    </row>
    <row r="13" spans="1:17" ht="14.25" customHeight="1" x14ac:dyDescent="0.35">
      <c r="A13" s="215"/>
      <c r="B13" s="279"/>
      <c r="C13" s="215"/>
      <c r="D13" s="261"/>
      <c r="E13" s="278"/>
      <c r="F13" s="279"/>
      <c r="G13" s="224"/>
      <c r="H13" s="53"/>
      <c r="I13" s="277"/>
      <c r="J13" s="277"/>
      <c r="K13" s="275" t="s">
        <v>292</v>
      </c>
      <c r="L13" s="36" t="s">
        <v>79</v>
      </c>
      <c r="M13" s="24" t="s">
        <v>378</v>
      </c>
      <c r="N13" s="23">
        <v>4</v>
      </c>
      <c r="O13" s="23">
        <f t="shared" si="0"/>
        <v>4</v>
      </c>
      <c r="P13" s="23">
        <f t="shared" si="1"/>
        <v>8</v>
      </c>
      <c r="Q13" s="265"/>
    </row>
    <row r="14" spans="1:17" x14ac:dyDescent="0.2">
      <c r="I14" s="5"/>
      <c r="J14" s="5"/>
    </row>
    <row r="38" spans="1:17" ht="19.5" x14ac:dyDescent="0.2">
      <c r="A38" s="49" t="s">
        <v>0</v>
      </c>
      <c r="B38" s="50"/>
      <c r="C38" s="11"/>
      <c r="D38" s="12"/>
      <c r="E38" s="12" t="s">
        <v>14</v>
      </c>
      <c r="F38" s="13"/>
      <c r="G38" s="12"/>
      <c r="H38" s="12" t="s">
        <v>13</v>
      </c>
      <c r="I38" s="12"/>
      <c r="J38" s="13"/>
      <c r="K38" s="11"/>
      <c r="L38" s="12"/>
      <c r="M38" s="45" t="s">
        <v>1</v>
      </c>
      <c r="N38" s="12"/>
      <c r="O38" s="12"/>
      <c r="P38" s="12"/>
      <c r="Q38" s="17" t="s">
        <v>15</v>
      </c>
    </row>
    <row r="39" spans="1:17" ht="45" x14ac:dyDescent="0.2">
      <c r="A39" s="20" t="s">
        <v>2</v>
      </c>
      <c r="B39" s="3" t="s">
        <v>3</v>
      </c>
      <c r="C39" s="14" t="s">
        <v>4</v>
      </c>
      <c r="D39" s="15" t="s">
        <v>5</v>
      </c>
      <c r="E39" s="14" t="s">
        <v>6</v>
      </c>
      <c r="F39" s="14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32" t="s">
        <v>7</v>
      </c>
      <c r="L39" s="2" t="s">
        <v>5</v>
      </c>
      <c r="M39" s="31" t="s">
        <v>9</v>
      </c>
      <c r="N39" s="30" t="s">
        <v>8</v>
      </c>
      <c r="O39" s="30" t="s">
        <v>6</v>
      </c>
      <c r="P39" s="30" t="s">
        <v>3</v>
      </c>
      <c r="Q39" s="2" t="s">
        <v>16</v>
      </c>
    </row>
    <row r="40" spans="1:17" ht="13.5" customHeight="1" x14ac:dyDescent="0.2">
      <c r="A40" s="296" t="s">
        <v>311</v>
      </c>
      <c r="B40" s="296" t="s">
        <v>21</v>
      </c>
      <c r="C40" s="296" t="s">
        <v>292</v>
      </c>
      <c r="D40" s="113" t="s">
        <v>577</v>
      </c>
      <c r="E40" s="295">
        <v>1</v>
      </c>
      <c r="F40" s="294" t="s">
        <v>19</v>
      </c>
      <c r="G40" s="294" t="s">
        <v>283</v>
      </c>
      <c r="H40" s="115" t="s">
        <v>578</v>
      </c>
      <c r="I40" s="294" t="s">
        <v>23</v>
      </c>
      <c r="J40" s="294" t="s">
        <v>32</v>
      </c>
      <c r="K40" s="286" t="s">
        <v>19</v>
      </c>
      <c r="L40" s="287" t="s">
        <v>579</v>
      </c>
      <c r="M40" s="288" t="s">
        <v>580</v>
      </c>
      <c r="N40" s="289">
        <v>12</v>
      </c>
      <c r="O40" s="290">
        <v>12</v>
      </c>
      <c r="P40" s="291">
        <f>O40*B$40</f>
        <v>24</v>
      </c>
      <c r="Q40" s="34"/>
    </row>
    <row r="41" spans="1:17" ht="13.5" customHeight="1" x14ac:dyDescent="0.2">
      <c r="A41" s="296"/>
      <c r="B41" s="296"/>
      <c r="C41" s="296"/>
      <c r="D41" s="113"/>
      <c r="E41" s="295"/>
      <c r="F41" s="294"/>
      <c r="G41" s="294"/>
      <c r="H41" s="115"/>
      <c r="I41" s="294"/>
      <c r="J41" s="294"/>
      <c r="K41" s="286" t="s">
        <v>21</v>
      </c>
      <c r="L41" s="287" t="s">
        <v>581</v>
      </c>
      <c r="M41" s="288" t="s">
        <v>582</v>
      </c>
      <c r="N41" s="289">
        <v>12</v>
      </c>
      <c r="O41" s="290">
        <v>12</v>
      </c>
      <c r="P41" s="291">
        <f t="shared" ref="P41:P59" si="2">O41*B$40</f>
        <v>24</v>
      </c>
      <c r="Q41" s="34"/>
    </row>
    <row r="42" spans="1:17" ht="13.5" customHeight="1" x14ac:dyDescent="0.2">
      <c r="A42" s="296"/>
      <c r="B42" s="296"/>
      <c r="C42" s="296"/>
      <c r="D42" s="113"/>
      <c r="E42" s="295"/>
      <c r="F42" s="294"/>
      <c r="G42" s="294"/>
      <c r="H42" s="115"/>
      <c r="I42" s="294"/>
      <c r="J42" s="294"/>
      <c r="K42" s="286" t="s">
        <v>23</v>
      </c>
      <c r="L42" s="287" t="s">
        <v>583</v>
      </c>
      <c r="M42" s="288" t="s">
        <v>584</v>
      </c>
      <c r="N42" s="289">
        <v>6</v>
      </c>
      <c r="O42" s="290">
        <v>6</v>
      </c>
      <c r="P42" s="291">
        <f t="shared" si="2"/>
        <v>12</v>
      </c>
      <c r="Q42" s="34"/>
    </row>
    <row r="43" spans="1:17" ht="13.5" customHeight="1" x14ac:dyDescent="0.2">
      <c r="A43" s="296"/>
      <c r="B43" s="296"/>
      <c r="C43" s="296"/>
      <c r="D43" s="113"/>
      <c r="E43" s="295"/>
      <c r="F43" s="294"/>
      <c r="G43" s="294"/>
      <c r="H43" s="115"/>
      <c r="I43" s="294"/>
      <c r="J43" s="294"/>
      <c r="K43" s="286" t="s">
        <v>26</v>
      </c>
      <c r="L43" s="287" t="s">
        <v>585</v>
      </c>
      <c r="M43" s="288" t="s">
        <v>671</v>
      </c>
      <c r="N43" s="289">
        <v>6</v>
      </c>
      <c r="O43" s="290">
        <v>6</v>
      </c>
      <c r="P43" s="291">
        <f t="shared" si="2"/>
        <v>12</v>
      </c>
      <c r="Q43" s="34"/>
    </row>
    <row r="44" spans="1:17" ht="13.5" customHeight="1" x14ac:dyDescent="0.2">
      <c r="A44" s="296"/>
      <c r="B44" s="296"/>
      <c r="C44" s="296"/>
      <c r="D44" s="113"/>
      <c r="E44" s="295"/>
      <c r="F44" s="294"/>
      <c r="G44" s="294"/>
      <c r="H44" s="115"/>
      <c r="I44" s="294"/>
      <c r="J44" s="294"/>
      <c r="K44" s="286" t="s">
        <v>29</v>
      </c>
      <c r="L44" s="287" t="s">
        <v>123</v>
      </c>
      <c r="M44" s="288" t="s">
        <v>586</v>
      </c>
      <c r="N44" s="289">
        <v>6</v>
      </c>
      <c r="O44" s="290">
        <v>6</v>
      </c>
      <c r="P44" s="291">
        <f t="shared" si="2"/>
        <v>12</v>
      </c>
      <c r="Q44" s="34"/>
    </row>
    <row r="45" spans="1:17" ht="13.5" customHeight="1" x14ac:dyDescent="0.2">
      <c r="A45" s="296"/>
      <c r="B45" s="296"/>
      <c r="C45" s="296"/>
      <c r="D45" s="113"/>
      <c r="E45" s="295"/>
      <c r="F45" s="294"/>
      <c r="G45" s="294"/>
      <c r="H45" s="115"/>
      <c r="I45" s="294"/>
      <c r="J45" s="294"/>
      <c r="K45" s="286" t="s">
        <v>32</v>
      </c>
      <c r="L45" s="287" t="s">
        <v>587</v>
      </c>
      <c r="M45" s="288" t="s">
        <v>588</v>
      </c>
      <c r="N45" s="289">
        <v>1</v>
      </c>
      <c r="O45" s="290">
        <v>1</v>
      </c>
      <c r="P45" s="291">
        <f t="shared" si="2"/>
        <v>2</v>
      </c>
      <c r="Q45" s="34"/>
    </row>
    <row r="46" spans="1:17" ht="13.5" customHeight="1" x14ac:dyDescent="0.2">
      <c r="A46" s="296"/>
      <c r="B46" s="296"/>
      <c r="C46" s="296"/>
      <c r="D46" s="113"/>
      <c r="E46" s="295"/>
      <c r="F46" s="294"/>
      <c r="G46" s="294"/>
      <c r="H46" s="115"/>
      <c r="I46" s="294"/>
      <c r="J46" s="294"/>
      <c r="K46" s="286" t="s">
        <v>35</v>
      </c>
      <c r="L46" s="287" t="s">
        <v>589</v>
      </c>
      <c r="M46" s="288" t="s">
        <v>44</v>
      </c>
      <c r="N46" s="289">
        <v>6</v>
      </c>
      <c r="O46" s="290">
        <v>6</v>
      </c>
      <c r="P46" s="291">
        <f t="shared" si="2"/>
        <v>12</v>
      </c>
      <c r="Q46" s="34"/>
    </row>
    <row r="47" spans="1:17" ht="13.5" customHeight="1" x14ac:dyDescent="0.2">
      <c r="A47" s="296"/>
      <c r="B47" s="296"/>
      <c r="C47" s="296"/>
      <c r="D47" s="113"/>
      <c r="E47" s="295"/>
      <c r="F47" s="294"/>
      <c r="G47" s="294"/>
      <c r="H47" s="115"/>
      <c r="I47" s="294"/>
      <c r="J47" s="294"/>
      <c r="K47" s="286" t="s">
        <v>37</v>
      </c>
      <c r="L47" s="287" t="s">
        <v>590</v>
      </c>
      <c r="M47" s="288" t="s">
        <v>591</v>
      </c>
      <c r="N47" s="289">
        <v>6</v>
      </c>
      <c r="O47" s="290">
        <v>6</v>
      </c>
      <c r="P47" s="291">
        <f t="shared" si="2"/>
        <v>12</v>
      </c>
      <c r="Q47" s="34"/>
    </row>
    <row r="48" spans="1:17" ht="13.5" customHeight="1" x14ac:dyDescent="0.2">
      <c r="A48" s="296"/>
      <c r="B48" s="296"/>
      <c r="C48" s="296"/>
      <c r="D48" s="113"/>
      <c r="E48" s="295"/>
      <c r="F48" s="294"/>
      <c r="G48" s="294"/>
      <c r="H48" s="115"/>
      <c r="I48" s="294"/>
      <c r="J48" s="294"/>
      <c r="K48" s="286" t="s">
        <v>40</v>
      </c>
      <c r="L48" s="287" t="s">
        <v>592</v>
      </c>
      <c r="M48" s="288" t="s">
        <v>44</v>
      </c>
      <c r="N48" s="289">
        <v>66</v>
      </c>
      <c r="O48" s="290">
        <v>66</v>
      </c>
      <c r="P48" s="291">
        <f t="shared" si="2"/>
        <v>132</v>
      </c>
      <c r="Q48" s="34"/>
    </row>
    <row r="49" spans="1:17" ht="13.5" customHeight="1" x14ac:dyDescent="0.2">
      <c r="A49" s="296"/>
      <c r="B49" s="296"/>
      <c r="C49" s="296"/>
      <c r="D49" s="113"/>
      <c r="E49" s="295"/>
      <c r="F49" s="294"/>
      <c r="G49" s="294"/>
      <c r="H49" s="115"/>
      <c r="I49" s="294"/>
      <c r="J49" s="294"/>
      <c r="K49" s="286" t="s">
        <v>51</v>
      </c>
      <c r="L49" s="287" t="s">
        <v>593</v>
      </c>
      <c r="M49" s="288" t="s">
        <v>594</v>
      </c>
      <c r="N49" s="289">
        <v>3</v>
      </c>
      <c r="O49" s="290">
        <v>3</v>
      </c>
      <c r="P49" s="291">
        <f t="shared" si="2"/>
        <v>6</v>
      </c>
      <c r="Q49" s="34"/>
    </row>
    <row r="50" spans="1:17" ht="13.5" customHeight="1" x14ac:dyDescent="0.2">
      <c r="A50" s="296"/>
      <c r="B50" s="296"/>
      <c r="C50" s="296"/>
      <c r="D50" s="113"/>
      <c r="E50" s="295"/>
      <c r="F50" s="294"/>
      <c r="G50" s="294"/>
      <c r="H50" s="115"/>
      <c r="I50" s="294"/>
      <c r="J50" s="294"/>
      <c r="K50" s="286" t="s">
        <v>52</v>
      </c>
      <c r="L50" s="287" t="s">
        <v>595</v>
      </c>
      <c r="M50" s="288" t="s">
        <v>596</v>
      </c>
      <c r="N50" s="289">
        <v>9</v>
      </c>
      <c r="O50" s="290">
        <v>9</v>
      </c>
      <c r="P50" s="291">
        <f t="shared" si="2"/>
        <v>18</v>
      </c>
      <c r="Q50" s="34"/>
    </row>
    <row r="51" spans="1:17" ht="13.5" customHeight="1" x14ac:dyDescent="0.2">
      <c r="A51" s="296"/>
      <c r="B51" s="296"/>
      <c r="C51" s="296"/>
      <c r="D51" s="113"/>
      <c r="E51" s="295"/>
      <c r="F51" s="294"/>
      <c r="G51" s="294"/>
      <c r="H51" s="115"/>
      <c r="I51" s="294"/>
      <c r="J51" s="294"/>
      <c r="K51" s="286" t="s">
        <v>53</v>
      </c>
      <c r="L51" s="287" t="s">
        <v>597</v>
      </c>
      <c r="M51" s="288" t="s">
        <v>598</v>
      </c>
      <c r="N51" s="289">
        <v>9</v>
      </c>
      <c r="O51" s="290">
        <v>9</v>
      </c>
      <c r="P51" s="291">
        <f t="shared" si="2"/>
        <v>18</v>
      </c>
      <c r="Q51" s="34"/>
    </row>
    <row r="52" spans="1:17" ht="13.5" customHeight="1" x14ac:dyDescent="0.2">
      <c r="A52" s="296"/>
      <c r="B52" s="296"/>
      <c r="C52" s="296"/>
      <c r="D52" s="113"/>
      <c r="E52" s="295"/>
      <c r="F52" s="294"/>
      <c r="G52" s="294" t="s">
        <v>292</v>
      </c>
      <c r="H52" s="266" t="s">
        <v>599</v>
      </c>
      <c r="I52" s="294" t="s">
        <v>19</v>
      </c>
      <c r="J52" s="294" t="s">
        <v>21</v>
      </c>
      <c r="K52" s="286" t="s">
        <v>57</v>
      </c>
      <c r="L52" s="287" t="s">
        <v>600</v>
      </c>
      <c r="M52" s="288" t="s">
        <v>601</v>
      </c>
      <c r="N52" s="289">
        <v>1</v>
      </c>
      <c r="O52" s="290">
        <v>1</v>
      </c>
      <c r="P52" s="291">
        <f t="shared" si="2"/>
        <v>2</v>
      </c>
      <c r="Q52" s="34"/>
    </row>
    <row r="53" spans="1:17" ht="13.5" customHeight="1" x14ac:dyDescent="0.2">
      <c r="A53" s="296"/>
      <c r="B53" s="296"/>
      <c r="C53" s="296"/>
      <c r="D53" s="113"/>
      <c r="E53" s="295"/>
      <c r="F53" s="294"/>
      <c r="G53" s="294"/>
      <c r="H53" s="266"/>
      <c r="I53" s="294"/>
      <c r="J53" s="294"/>
      <c r="K53" s="286" t="s">
        <v>58</v>
      </c>
      <c r="L53" s="287" t="s">
        <v>602</v>
      </c>
      <c r="M53" s="288" t="s">
        <v>603</v>
      </c>
      <c r="N53" s="289">
        <v>1</v>
      </c>
      <c r="O53" s="290">
        <v>1</v>
      </c>
      <c r="P53" s="291">
        <f t="shared" si="2"/>
        <v>2</v>
      </c>
      <c r="Q53" s="34"/>
    </row>
    <row r="54" spans="1:17" ht="13.5" customHeight="1" x14ac:dyDescent="0.2">
      <c r="A54" s="296"/>
      <c r="B54" s="296"/>
      <c r="C54" s="296"/>
      <c r="D54" s="113"/>
      <c r="E54" s="295"/>
      <c r="F54" s="294"/>
      <c r="G54" s="294"/>
      <c r="H54" s="266"/>
      <c r="I54" s="294"/>
      <c r="J54" s="294"/>
      <c r="K54" s="286" t="s">
        <v>64</v>
      </c>
      <c r="L54" s="287" t="s">
        <v>604</v>
      </c>
      <c r="M54" s="288" t="s">
        <v>605</v>
      </c>
      <c r="N54" s="289">
        <v>1</v>
      </c>
      <c r="O54" s="290">
        <v>1</v>
      </c>
      <c r="P54" s="291">
        <f t="shared" si="2"/>
        <v>2</v>
      </c>
      <c r="Q54" s="34"/>
    </row>
    <row r="55" spans="1:17" ht="13.5" customHeight="1" x14ac:dyDescent="0.2">
      <c r="A55" s="296"/>
      <c r="B55" s="296"/>
      <c r="C55" s="296"/>
      <c r="D55" s="113"/>
      <c r="E55" s="295"/>
      <c r="F55" s="294"/>
      <c r="G55" s="294"/>
      <c r="H55" s="266"/>
      <c r="I55" s="294"/>
      <c r="J55" s="294"/>
      <c r="K55" s="286" t="s">
        <v>65</v>
      </c>
      <c r="L55" s="287" t="s">
        <v>606</v>
      </c>
      <c r="M55" s="288" t="s">
        <v>596</v>
      </c>
      <c r="N55" s="289">
        <v>4</v>
      </c>
      <c r="O55" s="290">
        <v>4</v>
      </c>
      <c r="P55" s="291">
        <f t="shared" si="2"/>
        <v>8</v>
      </c>
      <c r="Q55" s="34"/>
    </row>
    <row r="56" spans="1:17" ht="13.5" customHeight="1" x14ac:dyDescent="0.2">
      <c r="A56" s="296"/>
      <c r="B56" s="296"/>
      <c r="C56" s="296"/>
      <c r="D56" s="113"/>
      <c r="E56" s="295"/>
      <c r="F56" s="294"/>
      <c r="G56" s="294"/>
      <c r="H56" s="266"/>
      <c r="I56" s="294"/>
      <c r="J56" s="294"/>
      <c r="K56" s="286" t="s">
        <v>66</v>
      </c>
      <c r="L56" s="287" t="s">
        <v>607</v>
      </c>
      <c r="M56" s="288" t="s">
        <v>598</v>
      </c>
      <c r="N56" s="289">
        <v>4</v>
      </c>
      <c r="O56" s="289">
        <v>4</v>
      </c>
      <c r="P56" s="291">
        <f t="shared" si="2"/>
        <v>8</v>
      </c>
      <c r="Q56" s="34"/>
    </row>
    <row r="57" spans="1:17" ht="13.5" customHeight="1" x14ac:dyDescent="0.2">
      <c r="A57" s="296"/>
      <c r="B57" s="296"/>
      <c r="C57" s="296"/>
      <c r="D57" s="113"/>
      <c r="E57" s="295"/>
      <c r="F57" s="294"/>
      <c r="G57" s="294" t="s">
        <v>282</v>
      </c>
      <c r="H57" s="266" t="s">
        <v>330</v>
      </c>
      <c r="I57" s="294" t="s">
        <v>19</v>
      </c>
      <c r="J57" s="294" t="s">
        <v>21</v>
      </c>
      <c r="K57" s="286" t="s">
        <v>68</v>
      </c>
      <c r="L57" s="287" t="s">
        <v>346</v>
      </c>
      <c r="M57" s="34" t="s">
        <v>342</v>
      </c>
      <c r="N57" s="289">
        <v>24</v>
      </c>
      <c r="O57" s="289">
        <v>24</v>
      </c>
      <c r="P57" s="291">
        <f t="shared" si="2"/>
        <v>48</v>
      </c>
      <c r="Q57" s="34"/>
    </row>
    <row r="58" spans="1:17" ht="13.5" customHeight="1" x14ac:dyDescent="0.2">
      <c r="A58" s="296"/>
      <c r="B58" s="296"/>
      <c r="C58" s="296"/>
      <c r="D58" s="113"/>
      <c r="E58" s="295"/>
      <c r="F58" s="294"/>
      <c r="G58" s="294"/>
      <c r="H58" s="266"/>
      <c r="I58" s="294"/>
      <c r="J58" s="294"/>
      <c r="K58" s="286" t="s">
        <v>69</v>
      </c>
      <c r="L58" s="287" t="s">
        <v>348</v>
      </c>
      <c r="M58" s="34" t="s">
        <v>80</v>
      </c>
      <c r="N58" s="289">
        <v>24</v>
      </c>
      <c r="O58" s="289">
        <v>24</v>
      </c>
      <c r="P58" s="291">
        <f t="shared" si="2"/>
        <v>48</v>
      </c>
      <c r="Q58" s="34"/>
    </row>
    <row r="59" spans="1:17" ht="13.5" customHeight="1" x14ac:dyDescent="0.25">
      <c r="A59" s="296"/>
      <c r="B59" s="296"/>
      <c r="C59" s="296"/>
      <c r="D59" s="113"/>
      <c r="E59" s="295"/>
      <c r="F59" s="294"/>
      <c r="G59" s="294"/>
      <c r="H59" s="266"/>
      <c r="I59" s="294"/>
      <c r="J59" s="294"/>
      <c r="K59" s="286" t="s">
        <v>72</v>
      </c>
      <c r="L59" s="287" t="s">
        <v>608</v>
      </c>
      <c r="M59" s="34" t="s">
        <v>338</v>
      </c>
      <c r="N59" s="292">
        <v>2</v>
      </c>
      <c r="O59" s="289">
        <v>2</v>
      </c>
      <c r="P59" s="291">
        <f t="shared" si="2"/>
        <v>4</v>
      </c>
      <c r="Q59" s="293"/>
    </row>
    <row r="60" spans="1:17" s="85" customFormat="1" ht="15.75" x14ac:dyDescent="0.2">
      <c r="I60" s="5"/>
      <c r="J60" s="5"/>
      <c r="K60" s="155"/>
      <c r="L60" s="156"/>
      <c r="M60" s="267"/>
      <c r="N60" s="268"/>
      <c r="O60" s="127"/>
      <c r="P60" s="269"/>
    </row>
    <row r="61" spans="1:17" s="85" customFormat="1" ht="15.75" x14ac:dyDescent="0.2">
      <c r="K61" s="155"/>
      <c r="L61" s="156"/>
      <c r="M61" s="268"/>
      <c r="N61" s="268"/>
      <c r="O61" s="127"/>
      <c r="P61" s="269"/>
    </row>
    <row r="62" spans="1:17" s="85" customFormat="1" ht="15.75" x14ac:dyDescent="0.2">
      <c r="K62" s="155"/>
      <c r="L62" s="156"/>
      <c r="M62" s="268"/>
      <c r="N62" s="268"/>
      <c r="O62" s="127"/>
      <c r="P62" s="269"/>
    </row>
    <row r="63" spans="1:17" s="85" customFormat="1" ht="15.75" x14ac:dyDescent="0.2">
      <c r="K63" s="155"/>
      <c r="L63" s="156"/>
      <c r="M63" s="268"/>
      <c r="N63" s="268"/>
      <c r="O63" s="127"/>
      <c r="P63" s="127"/>
    </row>
    <row r="71" spans="1:17" ht="5.25" customHeight="1" x14ac:dyDescent="0.2"/>
    <row r="72" spans="1:17" ht="19.5" x14ac:dyDescent="0.2">
      <c r="A72" s="49" t="s">
        <v>0</v>
      </c>
      <c r="B72" s="50"/>
      <c r="C72" s="11"/>
      <c r="D72" s="12"/>
      <c r="E72" s="12" t="s">
        <v>14</v>
      </c>
      <c r="F72" s="13"/>
      <c r="G72" s="12"/>
      <c r="H72" s="12" t="s">
        <v>13</v>
      </c>
      <c r="I72" s="12"/>
      <c r="J72" s="13"/>
      <c r="K72" s="11"/>
      <c r="L72" s="12"/>
      <c r="M72" s="45" t="s">
        <v>1</v>
      </c>
      <c r="N72" s="12"/>
      <c r="O72" s="12"/>
      <c r="P72" s="12"/>
      <c r="Q72" s="17" t="s">
        <v>15</v>
      </c>
    </row>
    <row r="73" spans="1:17" ht="45" x14ac:dyDescent="0.2">
      <c r="A73" s="20" t="s">
        <v>2</v>
      </c>
      <c r="B73" s="3" t="s">
        <v>3</v>
      </c>
      <c r="C73" s="14" t="s">
        <v>4</v>
      </c>
      <c r="D73" s="15" t="s">
        <v>5</v>
      </c>
      <c r="E73" s="14" t="s">
        <v>6</v>
      </c>
      <c r="F73" s="14" t="s">
        <v>3</v>
      </c>
      <c r="G73" s="3" t="s">
        <v>10</v>
      </c>
      <c r="H73" s="3" t="s">
        <v>5</v>
      </c>
      <c r="I73" s="3" t="s">
        <v>12</v>
      </c>
      <c r="J73" s="3" t="s">
        <v>11</v>
      </c>
      <c r="K73" s="1" t="s">
        <v>7</v>
      </c>
      <c r="L73" s="2" t="s">
        <v>5</v>
      </c>
      <c r="M73" s="2" t="s">
        <v>9</v>
      </c>
      <c r="N73" s="3" t="s">
        <v>8</v>
      </c>
      <c r="O73" s="3" t="s">
        <v>6</v>
      </c>
      <c r="P73" s="16" t="s">
        <v>3</v>
      </c>
      <c r="Q73" s="2" t="s">
        <v>16</v>
      </c>
    </row>
    <row r="74" spans="1:17" ht="13.5" customHeight="1" x14ac:dyDescent="0.2">
      <c r="A74" s="301" t="s">
        <v>311</v>
      </c>
      <c r="B74" s="301" t="s">
        <v>21</v>
      </c>
      <c r="C74" s="301" t="s">
        <v>282</v>
      </c>
      <c r="D74" s="222" t="s">
        <v>609</v>
      </c>
      <c r="E74" s="301" t="s">
        <v>19</v>
      </c>
      <c r="F74" s="301" t="s">
        <v>19</v>
      </c>
      <c r="G74" s="300" t="s">
        <v>283</v>
      </c>
      <c r="H74" s="270" t="s">
        <v>610</v>
      </c>
      <c r="I74" s="300">
        <v>1</v>
      </c>
      <c r="J74" s="300" t="s">
        <v>21</v>
      </c>
      <c r="K74" s="286" t="s">
        <v>19</v>
      </c>
      <c r="L74" s="159" t="s">
        <v>611</v>
      </c>
      <c r="M74" s="289" t="s">
        <v>612</v>
      </c>
      <c r="N74" s="289">
        <v>1</v>
      </c>
      <c r="O74" s="289">
        <v>1</v>
      </c>
      <c r="P74" s="299">
        <f>O74*B$74</f>
        <v>2</v>
      </c>
      <c r="Q74" s="34"/>
    </row>
    <row r="75" spans="1:17" ht="13.5" customHeight="1" x14ac:dyDescent="0.2">
      <c r="A75" s="302"/>
      <c r="B75" s="302"/>
      <c r="C75" s="302"/>
      <c r="D75" s="223"/>
      <c r="E75" s="302"/>
      <c r="F75" s="302"/>
      <c r="G75" s="300"/>
      <c r="H75" s="270"/>
      <c r="I75" s="300"/>
      <c r="J75" s="300"/>
      <c r="K75" s="286" t="s">
        <v>21</v>
      </c>
      <c r="L75" s="159" t="s">
        <v>613</v>
      </c>
      <c r="M75" s="289" t="s">
        <v>614</v>
      </c>
      <c r="N75" s="289">
        <v>2</v>
      </c>
      <c r="O75" s="289">
        <v>2</v>
      </c>
      <c r="P75" s="299">
        <f t="shared" ref="P75:P91" si="3">O75*B$74</f>
        <v>4</v>
      </c>
      <c r="Q75" s="34"/>
    </row>
    <row r="76" spans="1:17" ht="13.5" customHeight="1" x14ac:dyDescent="0.2">
      <c r="A76" s="302"/>
      <c r="B76" s="302"/>
      <c r="C76" s="302"/>
      <c r="D76" s="223"/>
      <c r="E76" s="302"/>
      <c r="F76" s="302"/>
      <c r="G76" s="300"/>
      <c r="H76" s="270"/>
      <c r="I76" s="300"/>
      <c r="J76" s="300"/>
      <c r="K76" s="286" t="s">
        <v>23</v>
      </c>
      <c r="L76" s="159" t="s">
        <v>615</v>
      </c>
      <c r="M76" s="289" t="s">
        <v>616</v>
      </c>
      <c r="N76" s="289">
        <v>1</v>
      </c>
      <c r="O76" s="289">
        <v>1</v>
      </c>
      <c r="P76" s="299">
        <f t="shared" si="3"/>
        <v>2</v>
      </c>
      <c r="Q76" s="34"/>
    </row>
    <row r="77" spans="1:17" ht="13.5" customHeight="1" x14ac:dyDescent="0.2">
      <c r="A77" s="302"/>
      <c r="B77" s="302"/>
      <c r="C77" s="302"/>
      <c r="D77" s="223"/>
      <c r="E77" s="302"/>
      <c r="F77" s="302"/>
      <c r="G77" s="300"/>
      <c r="H77" s="270"/>
      <c r="I77" s="300"/>
      <c r="J77" s="300"/>
      <c r="K77" s="286" t="s">
        <v>26</v>
      </c>
      <c r="L77" s="159" t="s">
        <v>617</v>
      </c>
      <c r="M77" s="289" t="s">
        <v>618</v>
      </c>
      <c r="N77" s="289">
        <v>2</v>
      </c>
      <c r="O77" s="289">
        <v>2</v>
      </c>
      <c r="P77" s="299">
        <f t="shared" si="3"/>
        <v>4</v>
      </c>
      <c r="Q77" s="34"/>
    </row>
    <row r="78" spans="1:17" ht="13.5" customHeight="1" x14ac:dyDescent="0.2">
      <c r="A78" s="302"/>
      <c r="B78" s="302"/>
      <c r="C78" s="302"/>
      <c r="D78" s="223"/>
      <c r="E78" s="302"/>
      <c r="F78" s="302"/>
      <c r="G78" s="300"/>
      <c r="H78" s="270"/>
      <c r="I78" s="300"/>
      <c r="J78" s="300"/>
      <c r="K78" s="286" t="s">
        <v>29</v>
      </c>
      <c r="L78" s="159" t="s">
        <v>619</v>
      </c>
      <c r="M78" s="288" t="s">
        <v>672</v>
      </c>
      <c r="N78" s="289">
        <v>4</v>
      </c>
      <c r="O78" s="289">
        <v>4</v>
      </c>
      <c r="P78" s="299">
        <f t="shared" si="3"/>
        <v>8</v>
      </c>
      <c r="Q78" s="34"/>
    </row>
    <row r="79" spans="1:17" ht="13.5" customHeight="1" x14ac:dyDescent="0.2">
      <c r="A79" s="302"/>
      <c r="B79" s="302"/>
      <c r="C79" s="302"/>
      <c r="D79" s="223"/>
      <c r="E79" s="302"/>
      <c r="F79" s="302"/>
      <c r="G79" s="300"/>
      <c r="H79" s="270"/>
      <c r="I79" s="300"/>
      <c r="J79" s="300"/>
      <c r="K79" s="286" t="s">
        <v>32</v>
      </c>
      <c r="L79" s="159" t="s">
        <v>620</v>
      </c>
      <c r="M79" s="288" t="s">
        <v>673</v>
      </c>
      <c r="N79" s="289">
        <v>4</v>
      </c>
      <c r="O79" s="289">
        <v>4</v>
      </c>
      <c r="P79" s="299">
        <f t="shared" si="3"/>
        <v>8</v>
      </c>
      <c r="Q79" s="34"/>
    </row>
    <row r="80" spans="1:17" ht="13.5" customHeight="1" x14ac:dyDescent="0.2">
      <c r="A80" s="302"/>
      <c r="B80" s="302"/>
      <c r="C80" s="302"/>
      <c r="D80" s="223"/>
      <c r="E80" s="302"/>
      <c r="F80" s="302"/>
      <c r="G80" s="300"/>
      <c r="H80" s="270"/>
      <c r="I80" s="300"/>
      <c r="J80" s="300"/>
      <c r="K80" s="286" t="s">
        <v>35</v>
      </c>
      <c r="L80" s="159" t="s">
        <v>621</v>
      </c>
      <c r="M80" s="287" t="s">
        <v>622</v>
      </c>
      <c r="N80" s="289">
        <v>4</v>
      </c>
      <c r="O80" s="289">
        <v>4</v>
      </c>
      <c r="P80" s="299">
        <f t="shared" si="3"/>
        <v>8</v>
      </c>
      <c r="Q80" s="34"/>
    </row>
    <row r="81" spans="1:17" ht="13.5" customHeight="1" x14ac:dyDescent="0.2">
      <c r="A81" s="302"/>
      <c r="B81" s="302"/>
      <c r="C81" s="302"/>
      <c r="D81" s="223"/>
      <c r="E81" s="302"/>
      <c r="F81" s="302"/>
      <c r="G81" s="300"/>
      <c r="H81" s="270"/>
      <c r="I81" s="300"/>
      <c r="J81" s="300"/>
      <c r="K81" s="286" t="s">
        <v>37</v>
      </c>
      <c r="L81" s="159" t="s">
        <v>623</v>
      </c>
      <c r="M81" s="287" t="s">
        <v>624</v>
      </c>
      <c r="N81" s="289">
        <v>8</v>
      </c>
      <c r="O81" s="289">
        <v>8</v>
      </c>
      <c r="P81" s="299">
        <f t="shared" si="3"/>
        <v>16</v>
      </c>
      <c r="Q81" s="34"/>
    </row>
    <row r="82" spans="1:17" ht="13.5" customHeight="1" x14ac:dyDescent="0.2">
      <c r="A82" s="302"/>
      <c r="B82" s="302"/>
      <c r="C82" s="302"/>
      <c r="D82" s="223"/>
      <c r="E82" s="302"/>
      <c r="F82" s="302"/>
      <c r="G82" s="300"/>
      <c r="H82" s="270"/>
      <c r="I82" s="300"/>
      <c r="J82" s="300"/>
      <c r="K82" s="286" t="s">
        <v>40</v>
      </c>
      <c r="L82" s="159" t="s">
        <v>625</v>
      </c>
      <c r="M82" s="287" t="s">
        <v>70</v>
      </c>
      <c r="N82" s="289">
        <v>8</v>
      </c>
      <c r="O82" s="289">
        <v>8</v>
      </c>
      <c r="P82" s="299">
        <f t="shared" si="3"/>
        <v>16</v>
      </c>
      <c r="Q82" s="34"/>
    </row>
    <row r="83" spans="1:17" ht="13.5" customHeight="1" x14ac:dyDescent="0.2">
      <c r="A83" s="302"/>
      <c r="B83" s="302"/>
      <c r="C83" s="302"/>
      <c r="D83" s="223"/>
      <c r="E83" s="302"/>
      <c r="F83" s="302"/>
      <c r="G83" s="300"/>
      <c r="H83" s="270"/>
      <c r="I83" s="300"/>
      <c r="J83" s="300"/>
      <c r="K83" s="286" t="s">
        <v>51</v>
      </c>
      <c r="L83" s="159" t="s">
        <v>626</v>
      </c>
      <c r="M83" s="287" t="s">
        <v>454</v>
      </c>
      <c r="N83" s="289">
        <v>8</v>
      </c>
      <c r="O83" s="289">
        <v>8</v>
      </c>
      <c r="P83" s="299">
        <f t="shared" si="3"/>
        <v>16</v>
      </c>
      <c r="Q83" s="34"/>
    </row>
    <row r="84" spans="1:17" ht="13.5" customHeight="1" x14ac:dyDescent="0.2">
      <c r="A84" s="302"/>
      <c r="B84" s="302"/>
      <c r="C84" s="302"/>
      <c r="D84" s="223"/>
      <c r="E84" s="302"/>
      <c r="F84" s="302"/>
      <c r="G84" s="296" t="s">
        <v>292</v>
      </c>
      <c r="H84" s="112" t="s">
        <v>627</v>
      </c>
      <c r="I84" s="296" t="s">
        <v>19</v>
      </c>
      <c r="J84" s="296" t="s">
        <v>21</v>
      </c>
      <c r="K84" s="286" t="s">
        <v>52</v>
      </c>
      <c r="L84" s="159" t="s">
        <v>628</v>
      </c>
      <c r="M84" s="287" t="s">
        <v>616</v>
      </c>
      <c r="N84" s="289">
        <v>1</v>
      </c>
      <c r="O84" s="289">
        <v>1</v>
      </c>
      <c r="P84" s="299">
        <f t="shared" si="3"/>
        <v>2</v>
      </c>
      <c r="Q84" s="34"/>
    </row>
    <row r="85" spans="1:17" ht="13.5" customHeight="1" x14ac:dyDescent="0.2">
      <c r="A85" s="302"/>
      <c r="B85" s="302"/>
      <c r="C85" s="302"/>
      <c r="D85" s="223"/>
      <c r="E85" s="302"/>
      <c r="F85" s="302"/>
      <c r="G85" s="296"/>
      <c r="H85" s="112"/>
      <c r="I85" s="296"/>
      <c r="J85" s="296"/>
      <c r="K85" s="286" t="s">
        <v>53</v>
      </c>
      <c r="L85" s="159" t="s">
        <v>629</v>
      </c>
      <c r="M85" s="287" t="s">
        <v>616</v>
      </c>
      <c r="N85" s="289">
        <v>1</v>
      </c>
      <c r="O85" s="289">
        <v>1</v>
      </c>
      <c r="P85" s="299">
        <f t="shared" si="3"/>
        <v>2</v>
      </c>
      <c r="Q85" s="34"/>
    </row>
    <row r="86" spans="1:17" ht="13.5" customHeight="1" x14ac:dyDescent="0.2">
      <c r="A86" s="302"/>
      <c r="B86" s="302"/>
      <c r="C86" s="302"/>
      <c r="D86" s="223"/>
      <c r="E86" s="302"/>
      <c r="F86" s="302"/>
      <c r="G86" s="296"/>
      <c r="H86" s="112"/>
      <c r="I86" s="296"/>
      <c r="J86" s="296"/>
      <c r="K86" s="286" t="s">
        <v>57</v>
      </c>
      <c r="L86" s="159" t="s">
        <v>630</v>
      </c>
      <c r="M86" s="288" t="s">
        <v>672</v>
      </c>
      <c r="N86" s="289">
        <v>4</v>
      </c>
      <c r="O86" s="289">
        <v>4</v>
      </c>
      <c r="P86" s="299">
        <f t="shared" si="3"/>
        <v>8</v>
      </c>
      <c r="Q86" s="34"/>
    </row>
    <row r="87" spans="1:17" ht="13.5" customHeight="1" x14ac:dyDescent="0.2">
      <c r="A87" s="302"/>
      <c r="B87" s="302"/>
      <c r="C87" s="302"/>
      <c r="D87" s="223"/>
      <c r="E87" s="302"/>
      <c r="F87" s="302"/>
      <c r="G87" s="296"/>
      <c r="H87" s="112"/>
      <c r="I87" s="296"/>
      <c r="J87" s="296"/>
      <c r="K87" s="286" t="s">
        <v>58</v>
      </c>
      <c r="L87" s="159" t="s">
        <v>631</v>
      </c>
      <c r="M87" s="288" t="s">
        <v>673</v>
      </c>
      <c r="N87" s="289">
        <v>4</v>
      </c>
      <c r="O87" s="289">
        <v>4</v>
      </c>
      <c r="P87" s="299">
        <f t="shared" si="3"/>
        <v>8</v>
      </c>
      <c r="Q87" s="34"/>
    </row>
    <row r="88" spans="1:17" ht="13.5" customHeight="1" x14ac:dyDescent="0.2">
      <c r="A88" s="302"/>
      <c r="B88" s="302"/>
      <c r="C88" s="302"/>
      <c r="D88" s="223"/>
      <c r="E88" s="302"/>
      <c r="F88" s="302"/>
      <c r="G88" s="296"/>
      <c r="H88" s="112"/>
      <c r="I88" s="296"/>
      <c r="J88" s="296"/>
      <c r="K88" s="286" t="s">
        <v>64</v>
      </c>
      <c r="L88" s="159" t="s">
        <v>621</v>
      </c>
      <c r="M88" s="287" t="s">
        <v>622</v>
      </c>
      <c r="N88" s="289">
        <v>4</v>
      </c>
      <c r="O88" s="289">
        <v>4</v>
      </c>
      <c r="P88" s="299">
        <f t="shared" si="3"/>
        <v>8</v>
      </c>
      <c r="Q88" s="34"/>
    </row>
    <row r="89" spans="1:17" ht="13.5" customHeight="1" x14ac:dyDescent="0.2">
      <c r="A89" s="302"/>
      <c r="B89" s="302"/>
      <c r="C89" s="302"/>
      <c r="D89" s="223"/>
      <c r="E89" s="302"/>
      <c r="F89" s="302"/>
      <c r="G89" s="296"/>
      <c r="H89" s="112"/>
      <c r="I89" s="296"/>
      <c r="J89" s="296"/>
      <c r="K89" s="286" t="s">
        <v>65</v>
      </c>
      <c r="L89" s="159" t="s">
        <v>623</v>
      </c>
      <c r="M89" s="287" t="s">
        <v>624</v>
      </c>
      <c r="N89" s="289">
        <v>8</v>
      </c>
      <c r="O89" s="289">
        <v>8</v>
      </c>
      <c r="P89" s="299">
        <f t="shared" si="3"/>
        <v>16</v>
      </c>
      <c r="Q89" s="34"/>
    </row>
    <row r="90" spans="1:17" ht="13.5" customHeight="1" x14ac:dyDescent="0.25">
      <c r="A90" s="302"/>
      <c r="B90" s="302"/>
      <c r="C90" s="302"/>
      <c r="D90" s="223"/>
      <c r="E90" s="302"/>
      <c r="F90" s="302"/>
      <c r="G90" s="296"/>
      <c r="H90" s="112"/>
      <c r="I90" s="296"/>
      <c r="J90" s="296"/>
      <c r="K90" s="286" t="s">
        <v>66</v>
      </c>
      <c r="L90" s="159" t="s">
        <v>625</v>
      </c>
      <c r="M90" s="287" t="s">
        <v>70</v>
      </c>
      <c r="N90" s="289">
        <v>8</v>
      </c>
      <c r="O90" s="289">
        <v>8</v>
      </c>
      <c r="P90" s="299">
        <f t="shared" si="3"/>
        <v>16</v>
      </c>
      <c r="Q90" s="293"/>
    </row>
    <row r="91" spans="1:17" ht="13.5" customHeight="1" x14ac:dyDescent="0.25">
      <c r="A91" s="303"/>
      <c r="B91" s="303"/>
      <c r="C91" s="303"/>
      <c r="D91" s="224"/>
      <c r="E91" s="303"/>
      <c r="F91" s="303"/>
      <c r="G91" s="296"/>
      <c r="H91" s="112"/>
      <c r="I91" s="296"/>
      <c r="J91" s="296"/>
      <c r="K91" s="286" t="s">
        <v>67</v>
      </c>
      <c r="L91" s="159" t="s">
        <v>626</v>
      </c>
      <c r="M91" s="287" t="s">
        <v>454</v>
      </c>
      <c r="N91" s="289">
        <v>8</v>
      </c>
      <c r="O91" s="289">
        <v>8</v>
      </c>
      <c r="P91" s="299">
        <f t="shared" si="3"/>
        <v>16</v>
      </c>
      <c r="Q91" s="293"/>
    </row>
    <row r="105" spans="1:17" ht="19.5" x14ac:dyDescent="0.2">
      <c r="A105" s="49" t="s">
        <v>0</v>
      </c>
      <c r="B105" s="50"/>
      <c r="C105" s="11"/>
      <c r="D105" s="12"/>
      <c r="E105" s="12" t="s">
        <v>14</v>
      </c>
      <c r="F105" s="13"/>
      <c r="G105" s="12"/>
      <c r="H105" s="12" t="s">
        <v>13</v>
      </c>
      <c r="I105" s="12"/>
      <c r="J105" s="13"/>
      <c r="K105" s="11"/>
      <c r="L105" s="12"/>
      <c r="M105" s="45" t="s">
        <v>1</v>
      </c>
      <c r="N105" s="12"/>
      <c r="O105" s="12"/>
      <c r="P105" s="12"/>
      <c r="Q105" s="17" t="s">
        <v>15</v>
      </c>
    </row>
    <row r="106" spans="1:17" ht="45" x14ac:dyDescent="0.2">
      <c r="A106" s="20" t="s">
        <v>2</v>
      </c>
      <c r="B106" s="3" t="s">
        <v>3</v>
      </c>
      <c r="C106" s="14" t="s">
        <v>4</v>
      </c>
      <c r="D106" s="15" t="s">
        <v>5</v>
      </c>
      <c r="E106" s="14" t="s">
        <v>6</v>
      </c>
      <c r="F106" s="14" t="s">
        <v>3</v>
      </c>
      <c r="G106" s="3" t="s">
        <v>10</v>
      </c>
      <c r="H106" s="3" t="s">
        <v>5</v>
      </c>
      <c r="I106" s="3" t="s">
        <v>12</v>
      </c>
      <c r="J106" s="3" t="s">
        <v>11</v>
      </c>
      <c r="K106" s="1" t="s">
        <v>7</v>
      </c>
      <c r="L106" s="2" t="s">
        <v>5</v>
      </c>
      <c r="M106" s="2" t="s">
        <v>9</v>
      </c>
      <c r="N106" s="3" t="s">
        <v>8</v>
      </c>
      <c r="O106" s="3" t="s">
        <v>6</v>
      </c>
      <c r="P106" s="16" t="s">
        <v>3</v>
      </c>
      <c r="Q106" s="2" t="s">
        <v>16</v>
      </c>
    </row>
    <row r="107" spans="1:17" ht="15.75" x14ac:dyDescent="0.2">
      <c r="A107" s="301" t="s">
        <v>311</v>
      </c>
      <c r="B107" s="301" t="s">
        <v>21</v>
      </c>
      <c r="C107" s="296" t="s">
        <v>282</v>
      </c>
      <c r="D107" s="112" t="s">
        <v>609</v>
      </c>
      <c r="E107" s="296" t="s">
        <v>19</v>
      </c>
      <c r="F107" s="296" t="s">
        <v>21</v>
      </c>
      <c r="G107" s="296" t="s">
        <v>292</v>
      </c>
      <c r="H107" s="112" t="s">
        <v>632</v>
      </c>
      <c r="I107" s="296" t="s">
        <v>19</v>
      </c>
      <c r="J107" s="296" t="s">
        <v>21</v>
      </c>
      <c r="K107" s="286" t="s">
        <v>52</v>
      </c>
      <c r="L107" s="159" t="s">
        <v>633</v>
      </c>
      <c r="M107" s="287" t="s">
        <v>616</v>
      </c>
      <c r="N107" s="289">
        <v>1</v>
      </c>
      <c r="O107" s="289">
        <v>1</v>
      </c>
      <c r="P107" s="299">
        <f>O107*B$107</f>
        <v>2</v>
      </c>
      <c r="Q107" s="100"/>
    </row>
    <row r="108" spans="1:17" ht="15.75" x14ac:dyDescent="0.2">
      <c r="A108" s="302"/>
      <c r="B108" s="302"/>
      <c r="C108" s="296"/>
      <c r="D108" s="112"/>
      <c r="E108" s="296"/>
      <c r="F108" s="296"/>
      <c r="G108" s="296"/>
      <c r="H108" s="112"/>
      <c r="I108" s="296"/>
      <c r="J108" s="296"/>
      <c r="K108" s="286" t="s">
        <v>53</v>
      </c>
      <c r="L108" s="159" t="s">
        <v>634</v>
      </c>
      <c r="M108" s="287" t="s">
        <v>616</v>
      </c>
      <c r="N108" s="289">
        <v>1</v>
      </c>
      <c r="O108" s="289">
        <v>1</v>
      </c>
      <c r="P108" s="299">
        <f t="shared" ref="P108:P122" si="4">O108*B$107</f>
        <v>2</v>
      </c>
      <c r="Q108" s="100"/>
    </row>
    <row r="109" spans="1:17" ht="15.75" x14ac:dyDescent="0.2">
      <c r="A109" s="302"/>
      <c r="B109" s="302"/>
      <c r="C109" s="296"/>
      <c r="D109" s="112"/>
      <c r="E109" s="296"/>
      <c r="F109" s="296"/>
      <c r="G109" s="296"/>
      <c r="H109" s="112"/>
      <c r="I109" s="296"/>
      <c r="J109" s="296"/>
      <c r="K109" s="286" t="s">
        <v>57</v>
      </c>
      <c r="L109" s="159" t="s">
        <v>635</v>
      </c>
      <c r="M109" s="288" t="s">
        <v>672</v>
      </c>
      <c r="N109" s="289">
        <v>4</v>
      </c>
      <c r="O109" s="289">
        <v>4</v>
      </c>
      <c r="P109" s="299">
        <f t="shared" si="4"/>
        <v>8</v>
      </c>
      <c r="Q109" s="100"/>
    </row>
    <row r="110" spans="1:17" ht="15.75" x14ac:dyDescent="0.2">
      <c r="A110" s="302"/>
      <c r="B110" s="302"/>
      <c r="C110" s="296"/>
      <c r="D110" s="112"/>
      <c r="E110" s="296"/>
      <c r="F110" s="296"/>
      <c r="G110" s="296"/>
      <c r="H110" s="112"/>
      <c r="I110" s="296"/>
      <c r="J110" s="296"/>
      <c r="K110" s="286" t="s">
        <v>58</v>
      </c>
      <c r="L110" s="159" t="s">
        <v>636</v>
      </c>
      <c r="M110" s="288" t="s">
        <v>673</v>
      </c>
      <c r="N110" s="289">
        <v>4</v>
      </c>
      <c r="O110" s="289">
        <v>4</v>
      </c>
      <c r="P110" s="299">
        <f t="shared" si="4"/>
        <v>8</v>
      </c>
      <c r="Q110" s="100"/>
    </row>
    <row r="111" spans="1:17" ht="15.75" x14ac:dyDescent="0.2">
      <c r="A111" s="302"/>
      <c r="B111" s="302"/>
      <c r="C111" s="296"/>
      <c r="D111" s="112"/>
      <c r="E111" s="296"/>
      <c r="F111" s="296"/>
      <c r="G111" s="296"/>
      <c r="H111" s="112"/>
      <c r="I111" s="296"/>
      <c r="J111" s="296"/>
      <c r="K111" s="286" t="s">
        <v>64</v>
      </c>
      <c r="L111" s="159" t="s">
        <v>621</v>
      </c>
      <c r="M111" s="287" t="s">
        <v>622</v>
      </c>
      <c r="N111" s="289">
        <v>4</v>
      </c>
      <c r="O111" s="289">
        <v>4</v>
      </c>
      <c r="P111" s="299">
        <f t="shared" si="4"/>
        <v>8</v>
      </c>
      <c r="Q111" s="100"/>
    </row>
    <row r="112" spans="1:17" ht="15.75" x14ac:dyDescent="0.2">
      <c r="A112" s="302"/>
      <c r="B112" s="302"/>
      <c r="C112" s="296"/>
      <c r="D112" s="112"/>
      <c r="E112" s="296"/>
      <c r="F112" s="296"/>
      <c r="G112" s="296"/>
      <c r="H112" s="112"/>
      <c r="I112" s="296"/>
      <c r="J112" s="296"/>
      <c r="K112" s="286" t="s">
        <v>65</v>
      </c>
      <c r="L112" s="159" t="s">
        <v>623</v>
      </c>
      <c r="M112" s="287" t="s">
        <v>624</v>
      </c>
      <c r="N112" s="289">
        <v>8</v>
      </c>
      <c r="O112" s="289">
        <v>8</v>
      </c>
      <c r="P112" s="299">
        <f t="shared" si="4"/>
        <v>16</v>
      </c>
      <c r="Q112" s="100"/>
    </row>
    <row r="113" spans="1:17" ht="15.75" x14ac:dyDescent="0.2">
      <c r="A113" s="302"/>
      <c r="B113" s="302"/>
      <c r="C113" s="296"/>
      <c r="D113" s="112"/>
      <c r="E113" s="296"/>
      <c r="F113" s="296"/>
      <c r="G113" s="296"/>
      <c r="H113" s="112"/>
      <c r="I113" s="296"/>
      <c r="J113" s="296"/>
      <c r="K113" s="286" t="s">
        <v>66</v>
      </c>
      <c r="L113" s="159" t="s">
        <v>625</v>
      </c>
      <c r="M113" s="287" t="s">
        <v>70</v>
      </c>
      <c r="N113" s="289">
        <v>8</v>
      </c>
      <c r="O113" s="289">
        <v>8</v>
      </c>
      <c r="P113" s="299">
        <f t="shared" si="4"/>
        <v>16</v>
      </c>
      <c r="Q113" s="41"/>
    </row>
    <row r="114" spans="1:17" ht="15.75" x14ac:dyDescent="0.2">
      <c r="A114" s="302"/>
      <c r="B114" s="302"/>
      <c r="C114" s="296"/>
      <c r="D114" s="112"/>
      <c r="E114" s="296"/>
      <c r="F114" s="296"/>
      <c r="G114" s="296"/>
      <c r="H114" s="112"/>
      <c r="I114" s="296"/>
      <c r="J114" s="296"/>
      <c r="K114" s="286" t="s">
        <v>67</v>
      </c>
      <c r="L114" s="159" t="s">
        <v>626</v>
      </c>
      <c r="M114" s="287" t="s">
        <v>454</v>
      </c>
      <c r="N114" s="289">
        <v>8</v>
      </c>
      <c r="O114" s="289">
        <v>8</v>
      </c>
      <c r="P114" s="299">
        <f t="shared" si="4"/>
        <v>16</v>
      </c>
      <c r="Q114" s="41"/>
    </row>
    <row r="115" spans="1:17" ht="15.75" x14ac:dyDescent="0.2">
      <c r="A115" s="302"/>
      <c r="B115" s="302"/>
      <c r="C115" s="296"/>
      <c r="D115" s="112"/>
      <c r="E115" s="296"/>
      <c r="F115" s="296"/>
      <c r="G115" s="316" t="s">
        <v>44</v>
      </c>
      <c r="H115" s="271" t="s">
        <v>44</v>
      </c>
      <c r="I115" s="316" t="s">
        <v>44</v>
      </c>
      <c r="J115" s="316" t="s">
        <v>44</v>
      </c>
      <c r="K115" s="286" t="s">
        <v>68</v>
      </c>
      <c r="L115" s="159" t="s">
        <v>637</v>
      </c>
      <c r="M115" s="287" t="s">
        <v>638</v>
      </c>
      <c r="N115" s="289">
        <v>2</v>
      </c>
      <c r="O115" s="289">
        <v>2</v>
      </c>
      <c r="P115" s="299">
        <f t="shared" si="4"/>
        <v>4</v>
      </c>
      <c r="Q115" s="100"/>
    </row>
    <row r="116" spans="1:17" ht="15.75" x14ac:dyDescent="0.2">
      <c r="A116" s="302"/>
      <c r="B116" s="302"/>
      <c r="C116" s="296"/>
      <c r="D116" s="112"/>
      <c r="E116" s="296"/>
      <c r="F116" s="296"/>
      <c r="G116" s="316" t="s">
        <v>44</v>
      </c>
      <c r="H116" s="271" t="s">
        <v>44</v>
      </c>
      <c r="I116" s="316" t="s">
        <v>44</v>
      </c>
      <c r="J116" s="316" t="s">
        <v>44</v>
      </c>
      <c r="K116" s="286" t="s">
        <v>69</v>
      </c>
      <c r="L116" s="172" t="s">
        <v>639</v>
      </c>
      <c r="M116" s="287" t="s">
        <v>596</v>
      </c>
      <c r="N116" s="289">
        <v>4</v>
      </c>
      <c r="O116" s="289">
        <v>4</v>
      </c>
      <c r="P116" s="299">
        <f t="shared" si="4"/>
        <v>8</v>
      </c>
      <c r="Q116" s="100"/>
    </row>
    <row r="117" spans="1:17" ht="16.5" thickBot="1" x14ac:dyDescent="0.25">
      <c r="A117" s="302"/>
      <c r="B117" s="302"/>
      <c r="C117" s="322"/>
      <c r="D117" s="120"/>
      <c r="E117" s="322"/>
      <c r="F117" s="322"/>
      <c r="G117" s="317" t="s">
        <v>44</v>
      </c>
      <c r="H117" s="272" t="s">
        <v>44</v>
      </c>
      <c r="I117" s="317" t="s">
        <v>44</v>
      </c>
      <c r="J117" s="317" t="s">
        <v>44</v>
      </c>
      <c r="K117" s="318" t="s">
        <v>72</v>
      </c>
      <c r="L117" s="161" t="s">
        <v>640</v>
      </c>
      <c r="M117" s="311" t="s">
        <v>641</v>
      </c>
      <c r="N117" s="312">
        <v>4</v>
      </c>
      <c r="O117" s="312">
        <v>4</v>
      </c>
      <c r="P117" s="311">
        <f t="shared" si="4"/>
        <v>8</v>
      </c>
      <c r="Q117" s="105"/>
    </row>
    <row r="118" spans="1:17" ht="15.75" x14ac:dyDescent="0.2">
      <c r="A118" s="302"/>
      <c r="B118" s="302"/>
      <c r="C118" s="302" t="s">
        <v>281</v>
      </c>
      <c r="D118" s="118" t="s">
        <v>642</v>
      </c>
      <c r="E118" s="302" t="s">
        <v>19</v>
      </c>
      <c r="F118" s="302" t="s">
        <v>21</v>
      </c>
      <c r="G118" s="319" t="s">
        <v>283</v>
      </c>
      <c r="H118" s="273" t="s">
        <v>643</v>
      </c>
      <c r="I118" s="319" t="s">
        <v>19</v>
      </c>
      <c r="J118" s="319" t="s">
        <v>21</v>
      </c>
      <c r="K118" s="320" t="s">
        <v>53</v>
      </c>
      <c r="L118" s="169" t="s">
        <v>644</v>
      </c>
      <c r="M118" s="288" t="s">
        <v>674</v>
      </c>
      <c r="N118" s="313">
        <v>2</v>
      </c>
      <c r="O118" s="313">
        <v>2</v>
      </c>
      <c r="P118" s="299">
        <f t="shared" si="4"/>
        <v>4</v>
      </c>
      <c r="Q118" s="108"/>
    </row>
    <row r="119" spans="1:17" ht="15.75" customHeight="1" x14ac:dyDescent="0.2">
      <c r="A119" s="302"/>
      <c r="B119" s="302"/>
      <c r="C119" s="302"/>
      <c r="D119" s="118"/>
      <c r="E119" s="302"/>
      <c r="F119" s="302"/>
      <c r="G119" s="319"/>
      <c r="H119" s="273"/>
      <c r="I119" s="319"/>
      <c r="J119" s="319"/>
      <c r="K119" s="320" t="s">
        <v>19</v>
      </c>
      <c r="L119" s="169" t="s">
        <v>645</v>
      </c>
      <c r="M119" s="288" t="s">
        <v>675</v>
      </c>
      <c r="N119" s="314">
        <v>2</v>
      </c>
      <c r="O119" s="313">
        <v>2</v>
      </c>
      <c r="P119" s="299">
        <f t="shared" si="4"/>
        <v>4</v>
      </c>
      <c r="Q119" s="108"/>
    </row>
    <row r="120" spans="1:17" ht="15.75" x14ac:dyDescent="0.2">
      <c r="A120" s="302"/>
      <c r="B120" s="302"/>
      <c r="C120" s="302"/>
      <c r="D120" s="118"/>
      <c r="E120" s="302"/>
      <c r="F120" s="302"/>
      <c r="G120" s="319"/>
      <c r="H120" s="273"/>
      <c r="I120" s="319"/>
      <c r="J120" s="319"/>
      <c r="K120" s="286" t="s">
        <v>21</v>
      </c>
      <c r="L120" s="159" t="s">
        <v>646</v>
      </c>
      <c r="M120" s="287" t="s">
        <v>622</v>
      </c>
      <c r="N120" s="315">
        <v>2</v>
      </c>
      <c r="O120" s="289">
        <v>2</v>
      </c>
      <c r="P120" s="299">
        <f t="shared" si="4"/>
        <v>4</v>
      </c>
      <c r="Q120" s="100"/>
    </row>
    <row r="121" spans="1:17" ht="15.75" x14ac:dyDescent="0.2">
      <c r="A121" s="302"/>
      <c r="B121" s="302"/>
      <c r="C121" s="302"/>
      <c r="D121" s="118"/>
      <c r="E121" s="302"/>
      <c r="F121" s="302"/>
      <c r="G121" s="319"/>
      <c r="H121" s="273"/>
      <c r="I121" s="319"/>
      <c r="J121" s="319"/>
      <c r="K121" s="286" t="s">
        <v>23</v>
      </c>
      <c r="L121" s="159" t="s">
        <v>647</v>
      </c>
      <c r="M121" s="287" t="s">
        <v>70</v>
      </c>
      <c r="N121" s="315">
        <v>2</v>
      </c>
      <c r="O121" s="289">
        <v>2</v>
      </c>
      <c r="P121" s="299">
        <f t="shared" si="4"/>
        <v>4</v>
      </c>
      <c r="Q121" s="100"/>
    </row>
    <row r="122" spans="1:17" ht="15.75" x14ac:dyDescent="0.2">
      <c r="A122" s="303"/>
      <c r="B122" s="303"/>
      <c r="C122" s="303"/>
      <c r="D122" s="124"/>
      <c r="E122" s="303"/>
      <c r="F122" s="303"/>
      <c r="G122" s="321"/>
      <c r="H122" s="274"/>
      <c r="I122" s="321"/>
      <c r="J122" s="321"/>
      <c r="K122" s="286" t="s">
        <v>26</v>
      </c>
      <c r="L122" s="159" t="s">
        <v>648</v>
      </c>
      <c r="M122" s="288" t="s">
        <v>454</v>
      </c>
      <c r="N122" s="289">
        <v>4</v>
      </c>
      <c r="O122" s="289">
        <v>4</v>
      </c>
      <c r="P122" s="299">
        <f t="shared" si="4"/>
        <v>8</v>
      </c>
      <c r="Q122" s="100"/>
    </row>
    <row r="136" spans="1:17" ht="19.5" x14ac:dyDescent="0.2">
      <c r="A136" s="49" t="s">
        <v>0</v>
      </c>
      <c r="B136" s="50"/>
      <c r="C136" s="11"/>
      <c r="D136" s="12"/>
      <c r="E136" s="12" t="s">
        <v>14</v>
      </c>
      <c r="F136" s="13"/>
      <c r="G136" s="12"/>
      <c r="H136" s="12" t="s">
        <v>13</v>
      </c>
      <c r="I136" s="12"/>
      <c r="J136" s="13"/>
      <c r="K136" s="11"/>
      <c r="L136" s="12"/>
      <c r="M136" s="45" t="s">
        <v>1</v>
      </c>
      <c r="N136" s="12"/>
      <c r="O136" s="12"/>
      <c r="P136" s="12"/>
      <c r="Q136" s="17" t="s">
        <v>15</v>
      </c>
    </row>
    <row r="137" spans="1:17" ht="45" x14ac:dyDescent="0.2">
      <c r="A137" s="20" t="s">
        <v>2</v>
      </c>
      <c r="B137" s="3" t="s">
        <v>3</v>
      </c>
      <c r="C137" s="14" t="s">
        <v>4</v>
      </c>
      <c r="D137" s="15" t="s">
        <v>5</v>
      </c>
      <c r="E137" s="14" t="s">
        <v>6</v>
      </c>
      <c r="F137" s="14" t="s">
        <v>3</v>
      </c>
      <c r="G137" s="3" t="s">
        <v>10</v>
      </c>
      <c r="H137" s="3" t="s">
        <v>5</v>
      </c>
      <c r="I137" s="3" t="s">
        <v>12</v>
      </c>
      <c r="J137" s="3" t="s">
        <v>11</v>
      </c>
      <c r="K137" s="1" t="s">
        <v>7</v>
      </c>
      <c r="L137" s="2" t="s">
        <v>5</v>
      </c>
      <c r="M137" s="2" t="s">
        <v>9</v>
      </c>
      <c r="N137" s="3" t="s">
        <v>8</v>
      </c>
      <c r="O137" s="3" t="s">
        <v>6</v>
      </c>
      <c r="P137" s="16" t="s">
        <v>3</v>
      </c>
      <c r="Q137" s="2" t="s">
        <v>16</v>
      </c>
    </row>
    <row r="138" spans="1:17" ht="15.75" x14ac:dyDescent="0.2">
      <c r="A138" s="215" t="s">
        <v>311</v>
      </c>
      <c r="B138" s="215" t="s">
        <v>21</v>
      </c>
      <c r="C138" s="215" t="s">
        <v>281</v>
      </c>
      <c r="D138" s="215" t="s">
        <v>642</v>
      </c>
      <c r="E138" s="215" t="s">
        <v>19</v>
      </c>
      <c r="F138" s="215" t="s">
        <v>21</v>
      </c>
      <c r="G138" s="298" t="s">
        <v>292</v>
      </c>
      <c r="H138" s="270" t="s">
        <v>649</v>
      </c>
      <c r="I138" s="298" t="s">
        <v>19</v>
      </c>
      <c r="J138" s="298" t="s">
        <v>21</v>
      </c>
      <c r="K138" s="275" t="s">
        <v>19</v>
      </c>
      <c r="L138" s="159" t="s">
        <v>650</v>
      </c>
      <c r="M138" s="288" t="s">
        <v>674</v>
      </c>
      <c r="N138" s="282">
        <v>1</v>
      </c>
      <c r="O138" s="282">
        <v>1</v>
      </c>
      <c r="P138" s="297">
        <f>O138*B$138</f>
        <v>2</v>
      </c>
      <c r="Q138" s="23"/>
    </row>
    <row r="139" spans="1:17" ht="15.75" x14ac:dyDescent="0.2">
      <c r="A139" s="215"/>
      <c r="B139" s="215"/>
      <c r="C139" s="215"/>
      <c r="D139" s="215"/>
      <c r="E139" s="215"/>
      <c r="F139" s="215"/>
      <c r="G139" s="298"/>
      <c r="H139" s="270"/>
      <c r="I139" s="298"/>
      <c r="J139" s="298"/>
      <c r="K139" s="275" t="s">
        <v>21</v>
      </c>
      <c r="L139" s="159" t="s">
        <v>651</v>
      </c>
      <c r="M139" s="288" t="s">
        <v>676</v>
      </c>
      <c r="N139" s="282">
        <v>1</v>
      </c>
      <c r="O139" s="282">
        <v>1</v>
      </c>
      <c r="P139" s="297">
        <f t="shared" ref="P139:P151" si="5">O139*B$138</f>
        <v>2</v>
      </c>
      <c r="Q139" s="23"/>
    </row>
    <row r="140" spans="1:17" ht="15.75" x14ac:dyDescent="0.2">
      <c r="A140" s="215"/>
      <c r="B140" s="215"/>
      <c r="C140" s="215"/>
      <c r="D140" s="215"/>
      <c r="E140" s="215"/>
      <c r="F140" s="215"/>
      <c r="G140" s="298"/>
      <c r="H140" s="270"/>
      <c r="I140" s="298"/>
      <c r="J140" s="298"/>
      <c r="K140" s="275" t="s">
        <v>23</v>
      </c>
      <c r="L140" s="159" t="s">
        <v>652</v>
      </c>
      <c r="M140" s="287" t="s">
        <v>653</v>
      </c>
      <c r="N140" s="282">
        <v>2</v>
      </c>
      <c r="O140" s="282">
        <v>2</v>
      </c>
      <c r="P140" s="297">
        <f t="shared" si="5"/>
        <v>4</v>
      </c>
      <c r="Q140" s="23"/>
    </row>
    <row r="141" spans="1:17" ht="15.75" x14ac:dyDescent="0.2">
      <c r="A141" s="215"/>
      <c r="B141" s="215"/>
      <c r="C141" s="215"/>
      <c r="D141" s="215"/>
      <c r="E141" s="215"/>
      <c r="F141" s="215"/>
      <c r="G141" s="298"/>
      <c r="H141" s="270"/>
      <c r="I141" s="298"/>
      <c r="J141" s="298"/>
      <c r="K141" s="275" t="s">
        <v>26</v>
      </c>
      <c r="L141" s="159" t="s">
        <v>654</v>
      </c>
      <c r="M141" s="288" t="s">
        <v>677</v>
      </c>
      <c r="N141" s="282">
        <v>1</v>
      </c>
      <c r="O141" s="282">
        <v>1</v>
      </c>
      <c r="P141" s="297">
        <f t="shared" si="5"/>
        <v>2</v>
      </c>
      <c r="Q141" s="23"/>
    </row>
    <row r="142" spans="1:17" ht="15.75" x14ac:dyDescent="0.2">
      <c r="A142" s="215"/>
      <c r="B142" s="215"/>
      <c r="C142" s="215"/>
      <c r="D142" s="215"/>
      <c r="E142" s="215"/>
      <c r="F142" s="215"/>
      <c r="G142" s="298"/>
      <c r="H142" s="270"/>
      <c r="I142" s="298"/>
      <c r="J142" s="298"/>
      <c r="K142" s="275" t="s">
        <v>29</v>
      </c>
      <c r="L142" s="159" t="s">
        <v>655</v>
      </c>
      <c r="M142" s="287" t="s">
        <v>95</v>
      </c>
      <c r="N142" s="282">
        <v>1</v>
      </c>
      <c r="O142" s="282">
        <v>1</v>
      </c>
      <c r="P142" s="297">
        <f t="shared" si="5"/>
        <v>2</v>
      </c>
      <c r="Q142" s="23"/>
    </row>
    <row r="143" spans="1:17" ht="15.75" x14ac:dyDescent="0.2">
      <c r="A143" s="215"/>
      <c r="B143" s="215"/>
      <c r="C143" s="215"/>
      <c r="D143" s="215"/>
      <c r="E143" s="215"/>
      <c r="F143" s="215"/>
      <c r="G143" s="298"/>
      <c r="H143" s="270"/>
      <c r="I143" s="298"/>
      <c r="J143" s="298"/>
      <c r="K143" s="275" t="s">
        <v>32</v>
      </c>
      <c r="L143" s="159" t="s">
        <v>656</v>
      </c>
      <c r="M143" s="287" t="s">
        <v>657</v>
      </c>
      <c r="N143" s="282">
        <v>1</v>
      </c>
      <c r="O143" s="282">
        <v>1</v>
      </c>
      <c r="P143" s="297">
        <f t="shared" si="5"/>
        <v>2</v>
      </c>
      <c r="Q143" s="23"/>
    </row>
    <row r="144" spans="1:17" ht="15.75" x14ac:dyDescent="0.2">
      <c r="A144" s="215"/>
      <c r="B144" s="215"/>
      <c r="C144" s="215"/>
      <c r="D144" s="215"/>
      <c r="E144" s="215"/>
      <c r="F144" s="215"/>
      <c r="G144" s="298" t="s">
        <v>282</v>
      </c>
      <c r="H144" s="270" t="s">
        <v>658</v>
      </c>
      <c r="I144" s="298" t="s">
        <v>19</v>
      </c>
      <c r="J144" s="298" t="s">
        <v>21</v>
      </c>
      <c r="K144" s="275" t="s">
        <v>35</v>
      </c>
      <c r="L144" s="159" t="s">
        <v>659</v>
      </c>
      <c r="M144" s="287" t="s">
        <v>660</v>
      </c>
      <c r="N144" s="308">
        <v>1</v>
      </c>
      <c r="O144" s="282">
        <v>1</v>
      </c>
      <c r="P144" s="297">
        <f t="shared" si="5"/>
        <v>2</v>
      </c>
      <c r="Q144" s="23"/>
    </row>
    <row r="145" spans="1:17" ht="15.75" x14ac:dyDescent="0.2">
      <c r="A145" s="215"/>
      <c r="B145" s="215"/>
      <c r="C145" s="215"/>
      <c r="D145" s="215"/>
      <c r="E145" s="215"/>
      <c r="F145" s="215"/>
      <c r="G145" s="298"/>
      <c r="H145" s="270"/>
      <c r="I145" s="298"/>
      <c r="J145" s="298"/>
      <c r="K145" s="275" t="s">
        <v>37</v>
      </c>
      <c r="L145" s="159" t="s">
        <v>661</v>
      </c>
      <c r="M145" s="287" t="s">
        <v>540</v>
      </c>
      <c r="N145" s="308">
        <v>2</v>
      </c>
      <c r="O145" s="282">
        <v>2</v>
      </c>
      <c r="P145" s="297">
        <f t="shared" si="5"/>
        <v>4</v>
      </c>
      <c r="Q145" s="23"/>
    </row>
    <row r="146" spans="1:17" ht="15.75" x14ac:dyDescent="0.2">
      <c r="A146" s="215"/>
      <c r="B146" s="215"/>
      <c r="C146" s="215"/>
      <c r="D146" s="215"/>
      <c r="E146" s="215"/>
      <c r="F146" s="215"/>
      <c r="G146" s="298"/>
      <c r="H146" s="270"/>
      <c r="I146" s="298"/>
      <c r="J146" s="298"/>
      <c r="K146" s="275" t="s">
        <v>40</v>
      </c>
      <c r="L146" s="159" t="s">
        <v>662</v>
      </c>
      <c r="M146" s="287" t="s">
        <v>95</v>
      </c>
      <c r="N146" s="308">
        <v>8</v>
      </c>
      <c r="O146" s="282">
        <v>8</v>
      </c>
      <c r="P146" s="297">
        <f t="shared" si="5"/>
        <v>16</v>
      </c>
      <c r="Q146" s="23"/>
    </row>
    <row r="147" spans="1:17" ht="15.75" x14ac:dyDescent="0.2">
      <c r="A147" s="215"/>
      <c r="B147" s="215"/>
      <c r="C147" s="215"/>
      <c r="D147" s="215"/>
      <c r="E147" s="215"/>
      <c r="F147" s="215"/>
      <c r="G147" s="298"/>
      <c r="H147" s="270"/>
      <c r="I147" s="298"/>
      <c r="J147" s="298"/>
      <c r="K147" s="275" t="s">
        <v>51</v>
      </c>
      <c r="L147" s="159" t="s">
        <v>663</v>
      </c>
      <c r="M147" s="287" t="s">
        <v>42</v>
      </c>
      <c r="N147" s="308">
        <v>8</v>
      </c>
      <c r="O147" s="282">
        <v>8</v>
      </c>
      <c r="P147" s="297">
        <f t="shared" si="5"/>
        <v>16</v>
      </c>
      <c r="Q147" s="23"/>
    </row>
    <row r="148" spans="1:17" ht="15.75" x14ac:dyDescent="0.2">
      <c r="A148" s="215"/>
      <c r="B148" s="215"/>
      <c r="C148" s="215"/>
      <c r="D148" s="215"/>
      <c r="E148" s="215"/>
      <c r="F148" s="215"/>
      <c r="G148" s="215" t="s">
        <v>281</v>
      </c>
      <c r="H148" s="112" t="s">
        <v>664</v>
      </c>
      <c r="I148" s="215" t="s">
        <v>19</v>
      </c>
      <c r="J148" s="215" t="s">
        <v>21</v>
      </c>
      <c r="K148" s="275" t="s">
        <v>52</v>
      </c>
      <c r="L148" s="159" t="s">
        <v>665</v>
      </c>
      <c r="M148" s="287" t="s">
        <v>44</v>
      </c>
      <c r="N148" s="308">
        <v>1</v>
      </c>
      <c r="O148" s="282">
        <v>1</v>
      </c>
      <c r="P148" s="297">
        <f t="shared" si="5"/>
        <v>2</v>
      </c>
      <c r="Q148" s="23"/>
    </row>
    <row r="149" spans="1:17" ht="15.75" x14ac:dyDescent="0.2">
      <c r="A149" s="215"/>
      <c r="B149" s="215"/>
      <c r="C149" s="215"/>
      <c r="D149" s="215"/>
      <c r="E149" s="215"/>
      <c r="F149" s="215"/>
      <c r="G149" s="215"/>
      <c r="H149" s="112"/>
      <c r="I149" s="215"/>
      <c r="J149" s="215"/>
      <c r="K149" s="275" t="s">
        <v>53</v>
      </c>
      <c r="L149" s="159" t="s">
        <v>666</v>
      </c>
      <c r="M149" s="287" t="s">
        <v>667</v>
      </c>
      <c r="N149" s="282">
        <v>1</v>
      </c>
      <c r="O149" s="282">
        <v>1</v>
      </c>
      <c r="P149" s="297">
        <f t="shared" si="5"/>
        <v>2</v>
      </c>
      <c r="Q149" s="23"/>
    </row>
    <row r="150" spans="1:17" ht="15.75" x14ac:dyDescent="0.2">
      <c r="A150" s="215"/>
      <c r="B150" s="215"/>
      <c r="C150" s="215"/>
      <c r="D150" s="215"/>
      <c r="E150" s="215"/>
      <c r="F150" s="215"/>
      <c r="G150" s="215"/>
      <c r="H150" s="112"/>
      <c r="I150" s="215"/>
      <c r="J150" s="215"/>
      <c r="K150" s="310" t="s">
        <v>57</v>
      </c>
      <c r="L150" s="169" t="s">
        <v>668</v>
      </c>
      <c r="M150" s="324" t="s">
        <v>669</v>
      </c>
      <c r="N150" s="307">
        <v>1</v>
      </c>
      <c r="O150" s="306">
        <v>1</v>
      </c>
      <c r="P150" s="297">
        <f t="shared" si="5"/>
        <v>2</v>
      </c>
      <c r="Q150" s="323"/>
    </row>
    <row r="151" spans="1:17" ht="15.75" x14ac:dyDescent="0.2">
      <c r="A151" s="215"/>
      <c r="B151" s="215"/>
      <c r="C151" s="215"/>
      <c r="D151" s="215"/>
      <c r="E151" s="215"/>
      <c r="F151" s="215"/>
      <c r="G151" s="215"/>
      <c r="H151" s="112"/>
      <c r="I151" s="215"/>
      <c r="J151" s="215"/>
      <c r="K151" s="275" t="s">
        <v>58</v>
      </c>
      <c r="L151" s="159" t="s">
        <v>670</v>
      </c>
      <c r="M151" s="287" t="s">
        <v>653</v>
      </c>
      <c r="N151" s="308">
        <v>2</v>
      </c>
      <c r="O151" s="282">
        <v>2</v>
      </c>
      <c r="P151" s="297">
        <f t="shared" si="5"/>
        <v>4</v>
      </c>
      <c r="Q151" s="23"/>
    </row>
  </sheetData>
  <mergeCells count="87">
    <mergeCell ref="G148:G151"/>
    <mergeCell ref="H148:H151"/>
    <mergeCell ref="I148:I151"/>
    <mergeCell ref="J148:J151"/>
    <mergeCell ref="G138:G143"/>
    <mergeCell ref="H138:H143"/>
    <mergeCell ref="I138:I143"/>
    <mergeCell ref="J138:J143"/>
    <mergeCell ref="G144:G147"/>
    <mergeCell ref="H144:H147"/>
    <mergeCell ref="I144:I147"/>
    <mergeCell ref="J144:J147"/>
    <mergeCell ref="H118:H122"/>
    <mergeCell ref="I118:I122"/>
    <mergeCell ref="J118:J122"/>
    <mergeCell ref="A136:B136"/>
    <mergeCell ref="A138:A151"/>
    <mergeCell ref="B138:B151"/>
    <mergeCell ref="C138:C151"/>
    <mergeCell ref="D138:D151"/>
    <mergeCell ref="E138:E151"/>
    <mergeCell ref="F138:F151"/>
    <mergeCell ref="F107:F117"/>
    <mergeCell ref="G107:G114"/>
    <mergeCell ref="H107:H114"/>
    <mergeCell ref="I107:I114"/>
    <mergeCell ref="J107:J114"/>
    <mergeCell ref="C118:C122"/>
    <mergeCell ref="D118:D122"/>
    <mergeCell ref="E118:E122"/>
    <mergeCell ref="F118:F122"/>
    <mergeCell ref="G118:G122"/>
    <mergeCell ref="A105:B105"/>
    <mergeCell ref="A107:A122"/>
    <mergeCell ref="B107:B122"/>
    <mergeCell ref="C107:C117"/>
    <mergeCell ref="D107:D117"/>
    <mergeCell ref="E107:E117"/>
    <mergeCell ref="G74:G83"/>
    <mergeCell ref="H74:H83"/>
    <mergeCell ref="I74:I83"/>
    <mergeCell ref="J74:J83"/>
    <mergeCell ref="G84:G91"/>
    <mergeCell ref="H84:H91"/>
    <mergeCell ref="I84:I91"/>
    <mergeCell ref="J84:J91"/>
    <mergeCell ref="H57:H59"/>
    <mergeCell ref="I57:I59"/>
    <mergeCell ref="J57:J59"/>
    <mergeCell ref="A72:B72"/>
    <mergeCell ref="A74:A91"/>
    <mergeCell ref="B74:B91"/>
    <mergeCell ref="C74:C91"/>
    <mergeCell ref="D74:D91"/>
    <mergeCell ref="E74:E91"/>
    <mergeCell ref="F74:F91"/>
    <mergeCell ref="F40:F59"/>
    <mergeCell ref="G40:G51"/>
    <mergeCell ref="H40:H51"/>
    <mergeCell ref="I40:I51"/>
    <mergeCell ref="J40:J51"/>
    <mergeCell ref="G52:G56"/>
    <mergeCell ref="H52:H56"/>
    <mergeCell ref="I52:I56"/>
    <mergeCell ref="J52:J56"/>
    <mergeCell ref="G57:G59"/>
    <mergeCell ref="A38:B38"/>
    <mergeCell ref="A40:A59"/>
    <mergeCell ref="B40:B59"/>
    <mergeCell ref="C40:C59"/>
    <mergeCell ref="D40:D59"/>
    <mergeCell ref="E40:E59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A6:B6"/>
    <mergeCell ref="A8:A13"/>
    <mergeCell ref="B8:B13"/>
    <mergeCell ref="C8:C13"/>
    <mergeCell ref="D8:D13"/>
    <mergeCell ref="E8:E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4"/>
  <sheetViews>
    <sheetView view="pageLayout" zoomScaleNormal="100" workbookViewId="0">
      <selection activeCell="J39" sqref="J39"/>
    </sheetView>
  </sheetViews>
  <sheetFormatPr defaultRowHeight="14.25" x14ac:dyDescent="0.2"/>
  <cols>
    <col min="1" max="1" width="4" customWidth="1"/>
    <col min="2" max="2" width="4.125" customWidth="1"/>
    <col min="3" max="3" width="5.125" customWidth="1"/>
    <col min="4" max="5" width="5" customWidth="1"/>
    <col min="6" max="6" width="5.375" customWidth="1"/>
    <col min="7" max="7" width="5.125" customWidth="1"/>
    <col min="8" max="8" width="6.75" customWidth="1"/>
    <col min="9" max="9" width="12.125" customWidth="1"/>
    <col min="10" max="10" width="5.375" customWidth="1"/>
    <col min="11" max="11" width="5.625" customWidth="1"/>
    <col min="12" max="12" width="5" customWidth="1"/>
    <col min="13" max="13" width="14.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3.625" customWidth="1"/>
    <col min="20" max="20" width="5" customWidth="1"/>
    <col min="21" max="21" width="8" customWidth="1"/>
  </cols>
  <sheetData>
    <row r="4" spans="1:29" ht="12" customHeight="1" x14ac:dyDescent="0.2"/>
    <row r="5" spans="1:29" ht="5.25" customHeight="1" x14ac:dyDescent="0.2"/>
    <row r="6" spans="1:29" ht="19.5" x14ac:dyDescent="0.2">
      <c r="A6" s="49" t="s">
        <v>0</v>
      </c>
      <c r="B6" s="50"/>
      <c r="C6" s="5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45" t="s">
        <v>1</v>
      </c>
      <c r="O6" s="12"/>
      <c r="P6" s="12"/>
      <c r="Q6" s="12"/>
      <c r="R6" s="21"/>
      <c r="S6" s="21"/>
      <c r="T6" s="17" t="s">
        <v>15</v>
      </c>
    </row>
    <row r="7" spans="1:29" ht="48.95" customHeight="1" x14ac:dyDescent="0.2">
      <c r="A7" s="20" t="s">
        <v>2</v>
      </c>
      <c r="B7" s="20" t="s">
        <v>280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9" ht="14.25" customHeight="1" x14ac:dyDescent="0.2">
      <c r="A8" s="174" t="s">
        <v>281</v>
      </c>
      <c r="B8" s="175">
        <v>20</v>
      </c>
      <c r="C8" s="175">
        <v>1</v>
      </c>
      <c r="D8" s="174" t="s">
        <v>282</v>
      </c>
      <c r="E8" s="240">
        <v>5100</v>
      </c>
      <c r="F8" s="184" t="s">
        <v>19</v>
      </c>
      <c r="G8" s="175">
        <f>C8*F8</f>
        <v>1</v>
      </c>
      <c r="H8" s="175" t="s">
        <v>283</v>
      </c>
      <c r="I8" s="69" t="s">
        <v>284</v>
      </c>
      <c r="J8" s="237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K8" s="175">
        <f>J8*G8</f>
        <v>12</v>
      </c>
      <c r="L8" s="71" t="s">
        <v>19</v>
      </c>
      <c r="M8" s="226" t="s">
        <v>285</v>
      </c>
      <c r="N8" s="227" t="s">
        <v>286</v>
      </c>
      <c r="O8" s="71">
        <f>2*$J$8</f>
        <v>24</v>
      </c>
      <c r="P8" s="71">
        <f>O8*$F$8</f>
        <v>24</v>
      </c>
      <c r="Q8" s="71">
        <f>P8*$C$8</f>
        <v>24</v>
      </c>
      <c r="R8" s="71">
        <f>7*$Q$8</f>
        <v>168</v>
      </c>
      <c r="S8" s="71" t="s">
        <v>221</v>
      </c>
      <c r="T8" s="71"/>
    </row>
    <row r="9" spans="1:29" ht="14.25" customHeight="1" x14ac:dyDescent="0.2">
      <c r="A9" s="176"/>
      <c r="B9" s="177"/>
      <c r="C9" s="177"/>
      <c r="D9" s="176"/>
      <c r="E9" s="241"/>
      <c r="F9" s="185"/>
      <c r="G9" s="177"/>
      <c r="H9" s="177"/>
      <c r="I9" s="69"/>
      <c r="J9" s="238"/>
      <c r="K9" s="177"/>
      <c r="L9" s="71" t="s">
        <v>21</v>
      </c>
      <c r="M9" s="226" t="s">
        <v>287</v>
      </c>
      <c r="N9" s="228" t="s">
        <v>288</v>
      </c>
      <c r="O9" s="71">
        <f t="shared" ref="O9:O10" si="0">2*$J$8</f>
        <v>24</v>
      </c>
      <c r="P9" s="71">
        <f t="shared" ref="P9:P26" si="1">O9*$F$8</f>
        <v>24</v>
      </c>
      <c r="Q9" s="71">
        <f t="shared" ref="Q9:Q26" si="2">P9*$C$8</f>
        <v>24</v>
      </c>
      <c r="R9" s="71">
        <f>7.2*Q9</f>
        <v>172.8</v>
      </c>
      <c r="S9" s="71" t="s">
        <v>221</v>
      </c>
      <c r="T9" s="71"/>
    </row>
    <row r="10" spans="1:29" ht="14.25" customHeight="1" x14ac:dyDescent="0.2">
      <c r="A10" s="176"/>
      <c r="B10" s="177"/>
      <c r="C10" s="177"/>
      <c r="D10" s="176"/>
      <c r="E10" s="241"/>
      <c r="F10" s="185"/>
      <c r="G10" s="177"/>
      <c r="H10" s="177"/>
      <c r="I10" s="69"/>
      <c r="J10" s="238"/>
      <c r="K10" s="177"/>
      <c r="L10" s="71" t="s">
        <v>23</v>
      </c>
      <c r="M10" s="226" t="s">
        <v>289</v>
      </c>
      <c r="N10" s="227" t="s">
        <v>290</v>
      </c>
      <c r="O10" s="71">
        <f t="shared" si="0"/>
        <v>24</v>
      </c>
      <c r="P10" s="71">
        <f t="shared" si="1"/>
        <v>24</v>
      </c>
      <c r="Q10" s="71">
        <f t="shared" si="2"/>
        <v>24</v>
      </c>
      <c r="R10" s="71">
        <f>3.6*Q10</f>
        <v>86.4</v>
      </c>
      <c r="S10" s="71" t="s">
        <v>221</v>
      </c>
      <c r="T10" s="71"/>
    </row>
    <row r="11" spans="1:29" ht="14.25" customHeight="1" thickBot="1" x14ac:dyDescent="0.25">
      <c r="A11" s="176"/>
      <c r="B11" s="177"/>
      <c r="C11" s="177"/>
      <c r="D11" s="176"/>
      <c r="E11" s="241"/>
      <c r="F11" s="185"/>
      <c r="G11" s="177"/>
      <c r="H11" s="179"/>
      <c r="I11" s="76"/>
      <c r="J11" s="239"/>
      <c r="K11" s="179"/>
      <c r="L11" s="71" t="s">
        <v>26</v>
      </c>
      <c r="M11" s="226" t="s">
        <v>123</v>
      </c>
      <c r="N11" s="227" t="s">
        <v>291</v>
      </c>
      <c r="O11" s="71" t="str">
        <f>$J$8</f>
        <v>12</v>
      </c>
      <c r="P11" s="71">
        <f t="shared" si="1"/>
        <v>12</v>
      </c>
      <c r="Q11" s="71">
        <f t="shared" si="2"/>
        <v>12</v>
      </c>
      <c r="R11" s="71">
        <f>1.9*Q11</f>
        <v>22.799999999999997</v>
      </c>
      <c r="S11" s="71" t="s">
        <v>221</v>
      </c>
      <c r="T11" s="71"/>
    </row>
    <row r="12" spans="1:29" ht="14.25" customHeight="1" x14ac:dyDescent="0.2">
      <c r="A12" s="176"/>
      <c r="B12" s="177"/>
      <c r="C12" s="177"/>
      <c r="D12" s="176"/>
      <c r="E12" s="241"/>
      <c r="F12" s="185"/>
      <c r="G12" s="177"/>
      <c r="H12" s="181" t="s">
        <v>292</v>
      </c>
      <c r="I12" s="78" t="s">
        <v>293</v>
      </c>
      <c r="J12" s="181">
        <v>2</v>
      </c>
      <c r="K12" s="181">
        <f>J12*G8</f>
        <v>2</v>
      </c>
      <c r="L12" s="71">
        <v>1</v>
      </c>
      <c r="M12" s="226" t="s">
        <v>294</v>
      </c>
      <c r="N12" s="229" t="s">
        <v>295</v>
      </c>
      <c r="O12" s="71">
        <v>1</v>
      </c>
      <c r="P12" s="71">
        <f t="shared" si="1"/>
        <v>1</v>
      </c>
      <c r="Q12" s="71">
        <f t="shared" si="2"/>
        <v>1</v>
      </c>
      <c r="R12" s="71">
        <f>Q12*5.7</f>
        <v>5.7</v>
      </c>
      <c r="S12" s="71" t="s">
        <v>221</v>
      </c>
      <c r="T12" s="71"/>
      <c r="U12" s="79"/>
      <c r="V12" s="80"/>
      <c r="W12" s="81"/>
      <c r="X12" s="80"/>
      <c r="Y12" s="80"/>
      <c r="Z12" s="80"/>
      <c r="AA12" s="80"/>
      <c r="AB12" s="80"/>
      <c r="AC12" s="82"/>
    </row>
    <row r="13" spans="1:29" ht="14.25" customHeight="1" x14ac:dyDescent="0.2">
      <c r="A13" s="176"/>
      <c r="B13" s="177"/>
      <c r="C13" s="177"/>
      <c r="D13" s="176"/>
      <c r="E13" s="241"/>
      <c r="F13" s="185"/>
      <c r="G13" s="177"/>
      <c r="H13" s="177"/>
      <c r="I13" s="83"/>
      <c r="J13" s="177"/>
      <c r="K13" s="177"/>
      <c r="L13" s="71">
        <v>2</v>
      </c>
      <c r="M13" s="226" t="s">
        <v>296</v>
      </c>
      <c r="N13" s="229" t="s">
        <v>297</v>
      </c>
      <c r="O13" s="71">
        <v>1</v>
      </c>
      <c r="P13" s="71">
        <f t="shared" si="1"/>
        <v>1</v>
      </c>
      <c r="Q13" s="71">
        <f t="shared" si="2"/>
        <v>1</v>
      </c>
      <c r="R13" s="71">
        <f>Q13*6.6</f>
        <v>6.6</v>
      </c>
      <c r="S13" s="71" t="s">
        <v>221</v>
      </c>
      <c r="T13" s="71"/>
      <c r="U13" s="79"/>
      <c r="V13" s="80"/>
      <c r="W13" s="81"/>
      <c r="X13" s="80"/>
      <c r="Y13" s="80"/>
      <c r="Z13" s="84"/>
      <c r="AA13" s="84"/>
      <c r="AB13" s="84"/>
      <c r="AC13" s="82"/>
    </row>
    <row r="14" spans="1:29" ht="14.25" customHeight="1" x14ac:dyDescent="0.2">
      <c r="A14" s="176"/>
      <c r="B14" s="177"/>
      <c r="C14" s="177"/>
      <c r="D14" s="176"/>
      <c r="E14" s="241"/>
      <c r="F14" s="185"/>
      <c r="G14" s="177"/>
      <c r="H14" s="177"/>
      <c r="I14" s="83"/>
      <c r="J14" s="177"/>
      <c r="K14" s="177"/>
      <c r="L14" s="71">
        <v>3</v>
      </c>
      <c r="M14" s="226" t="s">
        <v>298</v>
      </c>
      <c r="N14" s="227" t="s">
        <v>299</v>
      </c>
      <c r="O14" s="71">
        <f>4</f>
        <v>4</v>
      </c>
      <c r="P14" s="71">
        <f t="shared" si="1"/>
        <v>4</v>
      </c>
      <c r="Q14" s="71">
        <f t="shared" si="2"/>
        <v>4</v>
      </c>
      <c r="R14" s="71">
        <f>7.5*Q14</f>
        <v>30</v>
      </c>
      <c r="S14" s="71" t="s">
        <v>221</v>
      </c>
      <c r="T14" s="71"/>
      <c r="U14" s="85"/>
      <c r="V14" s="85"/>
      <c r="W14" s="85"/>
      <c r="X14" s="85"/>
      <c r="Y14" s="85"/>
      <c r="Z14" s="85"/>
      <c r="AA14" s="85"/>
      <c r="AB14" s="85"/>
      <c r="AC14" s="85"/>
    </row>
    <row r="15" spans="1:29" ht="14.25" customHeight="1" thickBot="1" x14ac:dyDescent="0.25">
      <c r="A15" s="176"/>
      <c r="B15" s="177"/>
      <c r="C15" s="177"/>
      <c r="D15" s="176"/>
      <c r="E15" s="241"/>
      <c r="F15" s="185"/>
      <c r="G15" s="177"/>
      <c r="H15" s="179"/>
      <c r="I15" s="86"/>
      <c r="J15" s="179"/>
      <c r="K15" s="179"/>
      <c r="L15" s="71">
        <v>4</v>
      </c>
      <c r="M15" s="226" t="s">
        <v>300</v>
      </c>
      <c r="N15" s="230" t="s">
        <v>301</v>
      </c>
      <c r="O15" s="71" t="str">
        <f>IF(B8=30,"6",IF(B8=25,"5",IF(B8=20,"4",IF(B8=15,"3"))))</f>
        <v>4</v>
      </c>
      <c r="P15" s="71">
        <f t="shared" si="1"/>
        <v>4</v>
      </c>
      <c r="Q15" s="71">
        <f t="shared" si="2"/>
        <v>4</v>
      </c>
      <c r="R15" s="71">
        <f>Q15*0.52</f>
        <v>2.08</v>
      </c>
      <c r="S15" s="71" t="s">
        <v>221</v>
      </c>
      <c r="T15" s="71"/>
      <c r="U15" s="85"/>
      <c r="V15" s="85"/>
      <c r="W15" s="85"/>
      <c r="X15" s="85"/>
      <c r="Y15" s="85"/>
      <c r="Z15" s="85"/>
      <c r="AA15" s="85"/>
      <c r="AB15" s="85"/>
      <c r="AC15" s="85"/>
    </row>
    <row r="16" spans="1:29" ht="14.25" customHeight="1" x14ac:dyDescent="0.2">
      <c r="A16" s="176"/>
      <c r="B16" s="177"/>
      <c r="C16" s="177"/>
      <c r="D16" s="176"/>
      <c r="E16" s="241"/>
      <c r="F16" s="185"/>
      <c r="G16" s="177"/>
      <c r="H16" s="232" t="s">
        <v>282</v>
      </c>
      <c r="I16" s="87" t="s">
        <v>302</v>
      </c>
      <c r="J16" s="232">
        <v>1</v>
      </c>
      <c r="K16" s="232">
        <f>J16*G8</f>
        <v>1</v>
      </c>
      <c r="L16" s="71">
        <v>1</v>
      </c>
      <c r="M16" s="226" t="s">
        <v>303</v>
      </c>
      <c r="N16" s="231" t="str">
        <f>IF(B8=30,"UPN40,L=6600",IF(B8=20,"UPN40,L=4600",IF(B8=25,"UPN40,L=5600",IF(B8=15,"UPN40,L=3600"))))</f>
        <v>UPN40,L=4600</v>
      </c>
      <c r="O16" s="71">
        <v>1</v>
      </c>
      <c r="P16" s="71">
        <f t="shared" si="1"/>
        <v>1</v>
      </c>
      <c r="Q16" s="71">
        <f t="shared" si="2"/>
        <v>1</v>
      </c>
      <c r="R16" s="71">
        <f>(IF(B8=30,"12.4",IF(B8=20,"8.7",IF(B8=25,"10.6",IF(B8=15,"6.8")))))*Q16</f>
        <v>8.6999999999999993</v>
      </c>
      <c r="S16" s="71" t="s">
        <v>221</v>
      </c>
      <c r="T16" s="71"/>
      <c r="U16" s="85"/>
      <c r="V16" s="85"/>
      <c r="W16" s="85"/>
      <c r="X16" s="85"/>
      <c r="Y16" s="85"/>
      <c r="Z16" s="85"/>
      <c r="AA16" s="85"/>
      <c r="AB16" s="85"/>
      <c r="AC16" s="85"/>
    </row>
    <row r="17" spans="1:29" ht="14.25" customHeight="1" thickBot="1" x14ac:dyDescent="0.25">
      <c r="A17" s="176"/>
      <c r="B17" s="177"/>
      <c r="C17" s="177"/>
      <c r="D17" s="176"/>
      <c r="E17" s="241"/>
      <c r="F17" s="185"/>
      <c r="G17" s="177"/>
      <c r="H17" s="233"/>
      <c r="I17" s="90"/>
      <c r="J17" s="233"/>
      <c r="K17" s="233"/>
      <c r="L17" s="71">
        <v>2</v>
      </c>
      <c r="M17" s="226" t="s">
        <v>304</v>
      </c>
      <c r="N17" s="227" t="s">
        <v>305</v>
      </c>
      <c r="O17" s="71">
        <v>6</v>
      </c>
      <c r="P17" s="71">
        <f t="shared" si="1"/>
        <v>6</v>
      </c>
      <c r="Q17" s="71">
        <f t="shared" si="2"/>
        <v>6</v>
      </c>
      <c r="R17" s="71">
        <f>0.1*Q17</f>
        <v>0.60000000000000009</v>
      </c>
      <c r="S17" s="71" t="s">
        <v>221</v>
      </c>
      <c r="T17" s="71"/>
      <c r="U17" s="85"/>
      <c r="V17" s="85"/>
      <c r="W17" s="85"/>
      <c r="X17" s="85"/>
      <c r="Y17" s="85"/>
      <c r="Z17" s="85"/>
      <c r="AA17" s="85"/>
      <c r="AB17" s="85"/>
      <c r="AC17" s="85"/>
    </row>
    <row r="18" spans="1:29" ht="14.25" customHeight="1" x14ac:dyDescent="0.2">
      <c r="A18" s="176"/>
      <c r="B18" s="177"/>
      <c r="C18" s="177"/>
      <c r="D18" s="176"/>
      <c r="E18" s="241"/>
      <c r="F18" s="185"/>
      <c r="G18" s="177"/>
      <c r="H18" s="180" t="s">
        <v>281</v>
      </c>
      <c r="I18" s="77" t="s">
        <v>306</v>
      </c>
      <c r="J18" s="181" t="str">
        <f>J8</f>
        <v>12</v>
      </c>
      <c r="K18" s="181">
        <f>J18*G8</f>
        <v>12</v>
      </c>
      <c r="L18" s="71">
        <v>1</v>
      </c>
      <c r="M18" s="226" t="s">
        <v>307</v>
      </c>
      <c r="N18" s="227" t="s">
        <v>308</v>
      </c>
      <c r="O18" s="71" t="str">
        <f>J18</f>
        <v>12</v>
      </c>
      <c r="P18" s="71">
        <f t="shared" si="1"/>
        <v>12</v>
      </c>
      <c r="Q18" s="71">
        <f t="shared" si="2"/>
        <v>12</v>
      </c>
      <c r="R18" s="71">
        <f>Q18</f>
        <v>12</v>
      </c>
      <c r="S18" s="71" t="s">
        <v>222</v>
      </c>
      <c r="T18" s="71"/>
      <c r="U18" s="79"/>
      <c r="V18" s="81"/>
      <c r="W18" s="81"/>
      <c r="X18" s="91"/>
      <c r="Y18" s="91"/>
      <c r="Z18" s="84"/>
      <c r="AA18" s="84"/>
      <c r="AB18" s="84"/>
      <c r="AC18" s="82"/>
    </row>
    <row r="19" spans="1:29" ht="14.25" customHeight="1" thickBot="1" x14ac:dyDescent="0.25">
      <c r="A19" s="176"/>
      <c r="B19" s="177"/>
      <c r="C19" s="177"/>
      <c r="D19" s="176"/>
      <c r="E19" s="241"/>
      <c r="F19" s="185"/>
      <c r="G19" s="177"/>
      <c r="H19" s="178"/>
      <c r="I19" s="75"/>
      <c r="J19" s="179"/>
      <c r="K19" s="179"/>
      <c r="L19" s="71">
        <v>2</v>
      </c>
      <c r="M19" s="226" t="s">
        <v>309</v>
      </c>
      <c r="N19" s="227" t="s">
        <v>310</v>
      </c>
      <c r="O19" s="71" t="str">
        <f>O18</f>
        <v>12</v>
      </c>
      <c r="P19" s="71">
        <f t="shared" si="1"/>
        <v>12</v>
      </c>
      <c r="Q19" s="71">
        <f t="shared" si="2"/>
        <v>12</v>
      </c>
      <c r="R19" s="71">
        <f>0.8*Q19</f>
        <v>9.6000000000000014</v>
      </c>
      <c r="S19" s="71" t="s">
        <v>221</v>
      </c>
      <c r="T19" s="71"/>
      <c r="U19" s="79"/>
      <c r="V19" s="80"/>
      <c r="W19" s="81"/>
      <c r="X19" s="80"/>
      <c r="Y19" s="80"/>
      <c r="Z19" s="84"/>
      <c r="AA19" s="84"/>
      <c r="AB19" s="84"/>
      <c r="AC19" s="82"/>
    </row>
    <row r="20" spans="1:29" ht="15" customHeight="1" x14ac:dyDescent="0.2">
      <c r="A20" s="176"/>
      <c r="B20" s="177"/>
      <c r="C20" s="177"/>
      <c r="D20" s="176"/>
      <c r="E20" s="241"/>
      <c r="F20" s="185"/>
      <c r="G20" s="177"/>
      <c r="H20" s="180" t="s">
        <v>311</v>
      </c>
      <c r="I20" s="77" t="s">
        <v>312</v>
      </c>
      <c r="J20" s="181" t="str">
        <f>IF(B8=30,"12",IF(B8=25,"10",IF(B8=20,"8",IF(B8=15,"6"))))</f>
        <v>8</v>
      </c>
      <c r="K20" s="181">
        <f>G8*J20</f>
        <v>8</v>
      </c>
      <c r="L20" s="71">
        <v>1</v>
      </c>
      <c r="M20" s="226" t="s">
        <v>313</v>
      </c>
      <c r="N20" s="228" t="str">
        <f>IF(B8=30,"4x162x1415",IF(B8=25,"4x162x1165",IF(B8=20,"4x162x915",IF(B8=15,"4x162x665"))))</f>
        <v>4x162x915</v>
      </c>
      <c r="O20" s="71">
        <f t="shared" ref="O20" si="3">2*$J$8</f>
        <v>24</v>
      </c>
      <c r="P20" s="71">
        <f t="shared" si="1"/>
        <v>24</v>
      </c>
      <c r="Q20" s="71">
        <f t="shared" si="2"/>
        <v>24</v>
      </c>
      <c r="R20" s="71">
        <f>(IF(B8=30,"7.2",IF(B8=25,"5.9",IF(B8=20,"4.6",IF(B8=15,"3.3")))))*Q20</f>
        <v>110.39999999999999</v>
      </c>
      <c r="S20" s="71" t="s">
        <v>221</v>
      </c>
      <c r="T20" s="71"/>
      <c r="U20" s="85"/>
      <c r="V20" s="85"/>
      <c r="W20" s="85"/>
      <c r="X20" s="85"/>
      <c r="Y20" s="85"/>
      <c r="Z20" s="85"/>
      <c r="AA20" s="85"/>
      <c r="AB20" s="85"/>
      <c r="AC20" s="85"/>
    </row>
    <row r="21" spans="1:29" ht="14.25" customHeight="1" thickBot="1" x14ac:dyDescent="0.25">
      <c r="A21" s="176"/>
      <c r="B21" s="177"/>
      <c r="C21" s="177"/>
      <c r="D21" s="176"/>
      <c r="E21" s="241"/>
      <c r="F21" s="185"/>
      <c r="G21" s="177"/>
      <c r="H21" s="178"/>
      <c r="I21" s="75"/>
      <c r="J21" s="179"/>
      <c r="K21" s="179"/>
      <c r="L21" s="71">
        <v>2</v>
      </c>
      <c r="M21" s="226" t="s">
        <v>314</v>
      </c>
      <c r="N21" s="229" t="s">
        <v>315</v>
      </c>
      <c r="O21" s="71">
        <f>2*J20</f>
        <v>16</v>
      </c>
      <c r="P21" s="71">
        <f>O21*F8</f>
        <v>16</v>
      </c>
      <c r="Q21" s="71">
        <f>P21*C8</f>
        <v>16</v>
      </c>
      <c r="R21" s="71">
        <f>0.088*Q21</f>
        <v>1.4079999999999999</v>
      </c>
      <c r="S21" s="71" t="s">
        <v>221</v>
      </c>
      <c r="T21" s="71"/>
      <c r="U21" s="85"/>
      <c r="V21" s="85"/>
      <c r="W21" s="85"/>
      <c r="X21" s="85"/>
      <c r="Y21" s="85"/>
      <c r="Z21" s="85"/>
      <c r="AA21" s="85"/>
      <c r="AB21" s="85"/>
      <c r="AC21" s="85"/>
    </row>
    <row r="22" spans="1:29" ht="14.25" customHeight="1" x14ac:dyDescent="0.2">
      <c r="A22" s="176"/>
      <c r="B22" s="177"/>
      <c r="C22" s="177"/>
      <c r="D22" s="176"/>
      <c r="E22" s="241"/>
      <c r="F22" s="185"/>
      <c r="G22" s="177"/>
      <c r="H22" s="234"/>
      <c r="I22" s="92" t="s">
        <v>316</v>
      </c>
      <c r="J22" s="234"/>
      <c r="K22" s="234"/>
      <c r="L22" s="71">
        <v>1</v>
      </c>
      <c r="M22" s="226" t="s">
        <v>316</v>
      </c>
      <c r="N22" s="227" t="s">
        <v>299</v>
      </c>
      <c r="O22" s="71">
        <f>IF(E8="درام5100",2,0)</f>
        <v>0</v>
      </c>
      <c r="P22" s="71">
        <f>O22*$F$8</f>
        <v>0</v>
      </c>
      <c r="Q22" s="71">
        <f>P22*$C$8</f>
        <v>0</v>
      </c>
      <c r="R22" s="71">
        <f>7.5*Q22</f>
        <v>0</v>
      </c>
      <c r="S22" s="71" t="s">
        <v>221</v>
      </c>
      <c r="T22" s="71"/>
      <c r="U22" s="79"/>
    </row>
    <row r="23" spans="1:29" ht="14.25" customHeight="1" x14ac:dyDescent="0.2">
      <c r="A23" s="176"/>
      <c r="B23" s="177"/>
      <c r="C23" s="177"/>
      <c r="D23" s="176"/>
      <c r="E23" s="241"/>
      <c r="F23" s="185"/>
      <c r="G23" s="177"/>
      <c r="H23" s="235"/>
      <c r="I23" s="93" t="s">
        <v>317</v>
      </c>
      <c r="J23" s="235"/>
      <c r="K23" s="235"/>
      <c r="L23" s="71">
        <v>2</v>
      </c>
      <c r="M23" s="226" t="s">
        <v>317</v>
      </c>
      <c r="N23" s="228" t="str">
        <f>IF(B8=30,"1.5x1000x4000",IF(B8=25,"1.5x1250x2500",IF(B8=20,"1.5x1000x2000",IF(B8=15,"1.5x1000x1500"))))</f>
        <v>1.5x1000x2000</v>
      </c>
      <c r="O23" s="71">
        <v>2</v>
      </c>
      <c r="P23" s="71">
        <f>O23*$F$8</f>
        <v>2</v>
      </c>
      <c r="Q23" s="71">
        <f>P23*$C$8</f>
        <v>2</v>
      </c>
      <c r="R23" s="71">
        <f>(IF(B8=30,"41.6",IF(B8=25,"28.9",IF(B8=20,"18.5",IF(B8=15,"10.4")))))*Q23</f>
        <v>37</v>
      </c>
      <c r="S23" s="71" t="s">
        <v>221</v>
      </c>
      <c r="T23" s="71"/>
      <c r="U23" s="79"/>
    </row>
    <row r="24" spans="1:29" ht="14.25" customHeight="1" x14ac:dyDescent="0.2">
      <c r="A24" s="176"/>
      <c r="B24" s="177"/>
      <c r="C24" s="177"/>
      <c r="D24" s="176"/>
      <c r="E24" s="241"/>
      <c r="F24" s="185"/>
      <c r="G24" s="177"/>
      <c r="H24" s="236" t="s">
        <v>44</v>
      </c>
      <c r="I24" s="93" t="s">
        <v>318</v>
      </c>
      <c r="J24" s="236" t="s">
        <v>44</v>
      </c>
      <c r="K24" s="236" t="s">
        <v>44</v>
      </c>
      <c r="L24" s="71">
        <v>3</v>
      </c>
      <c r="M24" s="226" t="s">
        <v>318</v>
      </c>
      <c r="N24" s="227" t="s">
        <v>319</v>
      </c>
      <c r="O24" s="71" t="str">
        <f>IF((AND(B8=30,E8=3400)),"12",IF((AND(B8=25,E8=3400)),"10",IF((AND(B8=20,E8=3400)),"8",IF((AND(B8=15,E8=3400)),"6",IF((AND(B8=30,E8=5100)),"36",IF((AND(B8=25,E8=5100)),"30",IF((AND(B8=20,E8=5100)),"24",IF((AND(B8=15,E8=5100)),"18"))))))))</f>
        <v>24</v>
      </c>
      <c r="P24" s="71">
        <f t="shared" si="1"/>
        <v>24</v>
      </c>
      <c r="Q24" s="71">
        <f t="shared" si="2"/>
        <v>24</v>
      </c>
      <c r="R24" s="71">
        <f>1.3*Q24</f>
        <v>31.200000000000003</v>
      </c>
      <c r="S24" s="71" t="s">
        <v>221</v>
      </c>
      <c r="T24" s="71"/>
      <c r="U24" s="79"/>
      <c r="V24" s="80"/>
      <c r="W24" s="81"/>
      <c r="X24" s="80"/>
      <c r="Y24" s="80"/>
      <c r="Z24" s="80"/>
      <c r="AA24" s="80"/>
      <c r="AB24" s="80"/>
      <c r="AC24" s="82"/>
    </row>
    <row r="25" spans="1:29" ht="14.25" customHeight="1" x14ac:dyDescent="0.2">
      <c r="A25" s="176"/>
      <c r="B25" s="177"/>
      <c r="C25" s="177"/>
      <c r="D25" s="176"/>
      <c r="E25" s="241"/>
      <c r="F25" s="185"/>
      <c r="G25" s="177"/>
      <c r="H25" s="236" t="s">
        <v>44</v>
      </c>
      <c r="I25" s="93" t="s">
        <v>320</v>
      </c>
      <c r="J25" s="70" t="s">
        <v>44</v>
      </c>
      <c r="K25" s="70" t="s">
        <v>44</v>
      </c>
      <c r="L25" s="71">
        <v>4</v>
      </c>
      <c r="M25" s="226" t="s">
        <v>320</v>
      </c>
      <c r="N25" s="227" t="s">
        <v>321</v>
      </c>
      <c r="O25" s="71" t="str">
        <f>IF((AND(B8=30,E8=3400)),"12",IF((AND(B8=25,E8=3400)),"10",IF((AND(B8=20,E8=3400)),"8",IF((AND(B8=15,E8=3400)),"6",IF((AND(B8=30,E8=5100)),"18",IF((AND(B8=25,E8=5100)),"15",IF((AND(B8=20,E8=5100)),"12",IF((AND(B8=15,E8=5100)),"9"))))))))</f>
        <v>12</v>
      </c>
      <c r="P25" s="71">
        <f t="shared" si="1"/>
        <v>12</v>
      </c>
      <c r="Q25" s="71">
        <f t="shared" si="2"/>
        <v>12</v>
      </c>
      <c r="R25" s="71">
        <f>2.6*Q25</f>
        <v>31.200000000000003</v>
      </c>
      <c r="S25" s="71" t="s">
        <v>221</v>
      </c>
      <c r="T25" s="71"/>
      <c r="U25" s="79"/>
      <c r="V25" s="80"/>
      <c r="W25" s="81"/>
      <c r="X25" s="80"/>
      <c r="Y25" s="80"/>
      <c r="Z25" s="80"/>
      <c r="AA25" s="80"/>
      <c r="AB25" s="80"/>
      <c r="AC25" s="82"/>
    </row>
    <row r="26" spans="1:29" ht="14.25" customHeight="1" x14ac:dyDescent="0.2">
      <c r="A26" s="182"/>
      <c r="B26" s="183"/>
      <c r="C26" s="183"/>
      <c r="D26" s="182"/>
      <c r="E26" s="242"/>
      <c r="F26" s="186"/>
      <c r="G26" s="183"/>
      <c r="H26" s="236" t="s">
        <v>44</v>
      </c>
      <c r="I26" s="93" t="s">
        <v>322</v>
      </c>
      <c r="J26" s="70" t="s">
        <v>44</v>
      </c>
      <c r="K26" s="70" t="s">
        <v>44</v>
      </c>
      <c r="L26" s="71">
        <v>5</v>
      </c>
      <c r="M26" s="226" t="s">
        <v>322</v>
      </c>
      <c r="N26" s="228" t="str">
        <f>IF(B8=30,"1x32x9600",IF(B8=25,"1x32x8000",IF(B8=20,"1x32x6500",IF(B8=15,"1x32x5000"))))</f>
        <v>1x32x6500</v>
      </c>
      <c r="O26" s="71">
        <f>IF(E8="درام5100",6,4)</f>
        <v>4</v>
      </c>
      <c r="P26" s="71">
        <f t="shared" si="1"/>
        <v>4</v>
      </c>
      <c r="Q26" s="71">
        <f t="shared" si="2"/>
        <v>4</v>
      </c>
      <c r="R26" s="71">
        <f>(IF(B8=30,"2.4",IF(B8=25,"2",IF(B8=20,"1.6",IF(B8=15,"1.2")))))*Q26</f>
        <v>6.4</v>
      </c>
      <c r="S26" s="71" t="s">
        <v>221</v>
      </c>
      <c r="T26" s="71"/>
      <c r="U26" s="79"/>
      <c r="V26" s="80"/>
      <c r="W26" s="81"/>
      <c r="X26" s="80"/>
      <c r="Y26" s="80"/>
      <c r="Z26" s="80"/>
      <c r="AA26" s="80"/>
      <c r="AB26" s="80"/>
      <c r="AC26" s="97"/>
    </row>
    <row r="27" spans="1:29" x14ac:dyDescent="0.2">
      <c r="U27" s="85"/>
      <c r="V27" s="85"/>
      <c r="W27" s="85"/>
      <c r="X27" s="85"/>
      <c r="Y27" s="85"/>
      <c r="Z27" s="85"/>
      <c r="AA27" s="85"/>
      <c r="AB27" s="85"/>
      <c r="AC27" s="85"/>
    </row>
    <row r="29" spans="1:29" x14ac:dyDescent="0.2">
      <c r="P29" s="225"/>
      <c r="Q29" s="225"/>
      <c r="R29" s="225"/>
      <c r="S29" s="225"/>
    </row>
    <row r="38" spans="1:20" ht="19.5" x14ac:dyDescent="0.2">
      <c r="A38" s="49" t="s">
        <v>0</v>
      </c>
      <c r="B38" s="50"/>
      <c r="C38" s="50"/>
      <c r="D38" s="11"/>
      <c r="E38" s="12"/>
      <c r="F38" s="12" t="s">
        <v>14</v>
      </c>
      <c r="G38" s="13"/>
      <c r="H38" s="12"/>
      <c r="I38" s="12" t="s">
        <v>13</v>
      </c>
      <c r="J38" s="12"/>
      <c r="K38" s="13"/>
      <c r="L38" s="11"/>
      <c r="M38" s="12"/>
      <c r="N38" s="45" t="s">
        <v>1</v>
      </c>
      <c r="O38" s="12"/>
      <c r="P38" s="12"/>
      <c r="Q38" s="12"/>
      <c r="R38" s="21"/>
      <c r="S38" s="21"/>
      <c r="T38" s="17" t="s">
        <v>15</v>
      </c>
    </row>
    <row r="39" spans="1:20" ht="50.25" customHeight="1" x14ac:dyDescent="0.2">
      <c r="A39" s="20" t="s">
        <v>2</v>
      </c>
      <c r="B39" s="20" t="s">
        <v>280</v>
      </c>
      <c r="C39" s="3" t="s">
        <v>3</v>
      </c>
      <c r="D39" s="14" t="s">
        <v>4</v>
      </c>
      <c r="E39" s="15" t="s">
        <v>5</v>
      </c>
      <c r="F39" s="14" t="s">
        <v>6</v>
      </c>
      <c r="G39" s="14" t="s">
        <v>3</v>
      </c>
      <c r="H39" s="3" t="s">
        <v>10</v>
      </c>
      <c r="I39" s="3" t="s">
        <v>5</v>
      </c>
      <c r="J39" s="20" t="s">
        <v>12</v>
      </c>
      <c r="K39" s="3" t="s">
        <v>11</v>
      </c>
      <c r="L39" s="1" t="s">
        <v>7</v>
      </c>
      <c r="M39" s="2" t="s">
        <v>5</v>
      </c>
      <c r="N39" s="2" t="s">
        <v>9</v>
      </c>
      <c r="O39" s="3" t="s">
        <v>8</v>
      </c>
      <c r="P39" s="3" t="s">
        <v>6</v>
      </c>
      <c r="Q39" s="16" t="s">
        <v>3</v>
      </c>
      <c r="R39" s="16" t="s">
        <v>17</v>
      </c>
      <c r="S39" s="16" t="s">
        <v>18</v>
      </c>
      <c r="T39" s="3" t="s">
        <v>16</v>
      </c>
    </row>
    <row r="40" spans="1:20" ht="12.95" customHeight="1" x14ac:dyDescent="0.2">
      <c r="A40" s="243" t="s">
        <v>281</v>
      </c>
      <c r="B40" s="196">
        <v>20</v>
      </c>
      <c r="C40" s="243" t="s">
        <v>19</v>
      </c>
      <c r="D40" s="243" t="s">
        <v>282</v>
      </c>
      <c r="E40" s="196">
        <v>5100</v>
      </c>
      <c r="F40" s="184" t="s">
        <v>19</v>
      </c>
      <c r="G40" s="175">
        <f>C40*F40</f>
        <v>1</v>
      </c>
      <c r="H40" s="98" t="s">
        <v>44</v>
      </c>
      <c r="I40" s="93" t="s">
        <v>323</v>
      </c>
      <c r="J40" s="98" t="s">
        <v>44</v>
      </c>
      <c r="K40" s="98" t="s">
        <v>44</v>
      </c>
      <c r="L40" s="99">
        <v>6</v>
      </c>
      <c r="M40" s="226" t="s">
        <v>323</v>
      </c>
      <c r="N40" s="99" t="s">
        <v>44</v>
      </c>
      <c r="O40" s="99">
        <f>O26</f>
        <v>4</v>
      </c>
      <c r="P40" s="99">
        <f>O40*$F$40</f>
        <v>4</v>
      </c>
      <c r="Q40" s="99">
        <f>P40*$C$40</f>
        <v>4</v>
      </c>
      <c r="R40" s="99">
        <f>Q40</f>
        <v>4</v>
      </c>
      <c r="S40" s="99" t="s">
        <v>222</v>
      </c>
      <c r="T40" s="99"/>
    </row>
    <row r="41" spans="1:20" ht="12.95" customHeight="1" x14ac:dyDescent="0.2">
      <c r="A41" s="244"/>
      <c r="B41" s="198"/>
      <c r="C41" s="244"/>
      <c r="D41" s="244"/>
      <c r="E41" s="198"/>
      <c r="F41" s="185"/>
      <c r="G41" s="177"/>
      <c r="H41" s="101" t="s">
        <v>44</v>
      </c>
      <c r="I41" s="102" t="s">
        <v>324</v>
      </c>
      <c r="J41" s="101" t="s">
        <v>44</v>
      </c>
      <c r="K41" s="101" t="s">
        <v>44</v>
      </c>
      <c r="L41" s="99">
        <v>7</v>
      </c>
      <c r="M41" s="226" t="s">
        <v>324</v>
      </c>
      <c r="N41" s="99" t="s">
        <v>325</v>
      </c>
      <c r="O41" s="99">
        <f>O40</f>
        <v>4</v>
      </c>
      <c r="P41" s="99">
        <f t="shared" ref="P41:P58" si="4">O41*$F$40</f>
        <v>4</v>
      </c>
      <c r="Q41" s="99">
        <f t="shared" ref="Q41:Q58" si="5">P41*$C$40</f>
        <v>4</v>
      </c>
      <c r="R41" s="99">
        <f>Q41</f>
        <v>4</v>
      </c>
      <c r="S41" s="99" t="s">
        <v>222</v>
      </c>
      <c r="T41" s="99"/>
    </row>
    <row r="42" spans="1:20" ht="12.95" customHeight="1" x14ac:dyDescent="0.2">
      <c r="A42" s="244"/>
      <c r="B42" s="198"/>
      <c r="C42" s="244"/>
      <c r="D42" s="244"/>
      <c r="E42" s="198"/>
      <c r="F42" s="185"/>
      <c r="G42" s="177"/>
      <c r="H42" s="101" t="s">
        <v>44</v>
      </c>
      <c r="I42" s="93" t="s">
        <v>326</v>
      </c>
      <c r="J42" s="101" t="s">
        <v>44</v>
      </c>
      <c r="K42" s="101" t="s">
        <v>44</v>
      </c>
      <c r="L42" s="99">
        <v>8</v>
      </c>
      <c r="M42" s="226" t="s">
        <v>326</v>
      </c>
      <c r="N42" s="99" t="s">
        <v>325</v>
      </c>
      <c r="O42" s="99">
        <f>O41</f>
        <v>4</v>
      </c>
      <c r="P42" s="99">
        <f t="shared" si="4"/>
        <v>4</v>
      </c>
      <c r="Q42" s="99">
        <f t="shared" si="5"/>
        <v>4</v>
      </c>
      <c r="R42" s="99">
        <f>Q42</f>
        <v>4</v>
      </c>
      <c r="S42" s="99" t="s">
        <v>222</v>
      </c>
      <c r="T42" s="99"/>
    </row>
    <row r="43" spans="1:20" ht="12.95" customHeight="1" thickBot="1" x14ac:dyDescent="0.25">
      <c r="A43" s="244"/>
      <c r="B43" s="198"/>
      <c r="C43" s="244"/>
      <c r="D43" s="244"/>
      <c r="E43" s="198"/>
      <c r="F43" s="185"/>
      <c r="G43" s="177"/>
      <c r="H43" s="103" t="s">
        <v>44</v>
      </c>
      <c r="I43" s="104" t="s">
        <v>327</v>
      </c>
      <c r="J43" s="103" t="s">
        <v>44</v>
      </c>
      <c r="K43" s="103" t="s">
        <v>44</v>
      </c>
      <c r="L43" s="99">
        <v>9</v>
      </c>
      <c r="M43" s="226" t="s">
        <v>327</v>
      </c>
      <c r="N43" s="99" t="s">
        <v>328</v>
      </c>
      <c r="O43" s="99" t="str">
        <f>J8</f>
        <v>12</v>
      </c>
      <c r="P43" s="99">
        <f t="shared" si="4"/>
        <v>12</v>
      </c>
      <c r="Q43" s="99">
        <f t="shared" si="5"/>
        <v>12</v>
      </c>
      <c r="R43" s="99">
        <f>Q43</f>
        <v>12</v>
      </c>
      <c r="S43" s="99" t="s">
        <v>222</v>
      </c>
      <c r="T43" s="99"/>
    </row>
    <row r="44" spans="1:20" ht="12.95" customHeight="1" x14ac:dyDescent="0.2">
      <c r="A44" s="244"/>
      <c r="B44" s="198"/>
      <c r="C44" s="244"/>
      <c r="D44" s="244"/>
      <c r="E44" s="198"/>
      <c r="F44" s="185"/>
      <c r="G44" s="177"/>
      <c r="H44" s="191" t="s">
        <v>329</v>
      </c>
      <c r="I44" s="107" t="s">
        <v>330</v>
      </c>
      <c r="J44" s="192">
        <v>1</v>
      </c>
      <c r="K44" s="192">
        <f>J44*G40</f>
        <v>1</v>
      </c>
      <c r="L44" s="99">
        <v>1</v>
      </c>
      <c r="M44" s="226" t="s">
        <v>331</v>
      </c>
      <c r="N44" s="99" t="s">
        <v>332</v>
      </c>
      <c r="O44" s="99" t="str">
        <f>IF(B40=30,"24",IF(B40=20,"16",IF(B40=25,"20",IF(B40=15,"12"))))</f>
        <v>16</v>
      </c>
      <c r="P44" s="99">
        <f t="shared" si="4"/>
        <v>16</v>
      </c>
      <c r="Q44" s="99">
        <f t="shared" si="5"/>
        <v>16</v>
      </c>
      <c r="R44" s="99">
        <f t="shared" ref="R44:R57" si="6">Q44</f>
        <v>16</v>
      </c>
      <c r="S44" s="99" t="s">
        <v>222</v>
      </c>
      <c r="T44" s="99"/>
    </row>
    <row r="45" spans="1:20" ht="12.95" customHeight="1" x14ac:dyDescent="0.2">
      <c r="A45" s="244"/>
      <c r="B45" s="198"/>
      <c r="C45" s="244"/>
      <c r="D45" s="244"/>
      <c r="E45" s="198"/>
      <c r="F45" s="185"/>
      <c r="G45" s="177"/>
      <c r="H45" s="191"/>
      <c r="I45" s="107"/>
      <c r="J45" s="192"/>
      <c r="K45" s="192"/>
      <c r="L45" s="99">
        <v>2</v>
      </c>
      <c r="M45" s="226" t="s">
        <v>333</v>
      </c>
      <c r="N45" s="99" t="s">
        <v>334</v>
      </c>
      <c r="O45" s="99" t="str">
        <f>O44</f>
        <v>16</v>
      </c>
      <c r="P45" s="99">
        <f t="shared" si="4"/>
        <v>16</v>
      </c>
      <c r="Q45" s="99">
        <f t="shared" si="5"/>
        <v>16</v>
      </c>
      <c r="R45" s="99">
        <f t="shared" si="6"/>
        <v>16</v>
      </c>
      <c r="S45" s="99" t="s">
        <v>222</v>
      </c>
      <c r="T45" s="99"/>
    </row>
    <row r="46" spans="1:20" ht="12.95" customHeight="1" x14ac:dyDescent="0.2">
      <c r="A46" s="244"/>
      <c r="B46" s="198"/>
      <c r="C46" s="244"/>
      <c r="D46" s="244"/>
      <c r="E46" s="198"/>
      <c r="F46" s="185"/>
      <c r="G46" s="177"/>
      <c r="H46" s="191"/>
      <c r="I46" s="107"/>
      <c r="J46" s="192"/>
      <c r="K46" s="192"/>
      <c r="L46" s="99">
        <v>3</v>
      </c>
      <c r="M46" s="226" t="s">
        <v>335</v>
      </c>
      <c r="N46" s="99" t="s">
        <v>336</v>
      </c>
      <c r="O46" s="99" t="str">
        <f>O45</f>
        <v>16</v>
      </c>
      <c r="P46" s="99">
        <f t="shared" si="4"/>
        <v>16</v>
      </c>
      <c r="Q46" s="99">
        <f t="shared" si="5"/>
        <v>16</v>
      </c>
      <c r="R46" s="99">
        <f t="shared" si="6"/>
        <v>16</v>
      </c>
      <c r="S46" s="99" t="s">
        <v>222</v>
      </c>
      <c r="T46" s="99"/>
    </row>
    <row r="47" spans="1:20" ht="12.95" customHeight="1" x14ac:dyDescent="0.2">
      <c r="A47" s="244"/>
      <c r="B47" s="198"/>
      <c r="C47" s="244"/>
      <c r="D47" s="244"/>
      <c r="E47" s="198"/>
      <c r="F47" s="185"/>
      <c r="G47" s="177"/>
      <c r="H47" s="191"/>
      <c r="I47" s="107"/>
      <c r="J47" s="192"/>
      <c r="K47" s="192"/>
      <c r="L47" s="99">
        <v>4</v>
      </c>
      <c r="M47" s="226" t="s">
        <v>337</v>
      </c>
      <c r="N47" s="99" t="s">
        <v>338</v>
      </c>
      <c r="O47" s="99" t="str">
        <f>O24</f>
        <v>24</v>
      </c>
      <c r="P47" s="99">
        <f t="shared" si="4"/>
        <v>24</v>
      </c>
      <c r="Q47" s="99">
        <f t="shared" si="5"/>
        <v>24</v>
      </c>
      <c r="R47" s="99">
        <f t="shared" si="6"/>
        <v>24</v>
      </c>
      <c r="S47" s="99" t="s">
        <v>222</v>
      </c>
      <c r="T47" s="99"/>
    </row>
    <row r="48" spans="1:20" ht="12.95" customHeight="1" x14ac:dyDescent="0.2">
      <c r="A48" s="244"/>
      <c r="B48" s="198"/>
      <c r="C48" s="244"/>
      <c r="D48" s="244"/>
      <c r="E48" s="198"/>
      <c r="F48" s="185"/>
      <c r="G48" s="177"/>
      <c r="H48" s="191"/>
      <c r="I48" s="107"/>
      <c r="J48" s="192"/>
      <c r="K48" s="192"/>
      <c r="L48" s="99">
        <v>5</v>
      </c>
      <c r="M48" s="226" t="s">
        <v>339</v>
      </c>
      <c r="N48" s="99" t="s">
        <v>340</v>
      </c>
      <c r="O48" s="99" t="str">
        <f>O47</f>
        <v>24</v>
      </c>
      <c r="P48" s="99">
        <f t="shared" si="4"/>
        <v>24</v>
      </c>
      <c r="Q48" s="99">
        <f t="shared" si="5"/>
        <v>24</v>
      </c>
      <c r="R48" s="99">
        <f t="shared" si="6"/>
        <v>24</v>
      </c>
      <c r="S48" s="99" t="s">
        <v>222</v>
      </c>
      <c r="T48" s="99"/>
    </row>
    <row r="49" spans="1:20" ht="12.95" customHeight="1" x14ac:dyDescent="0.2">
      <c r="A49" s="244"/>
      <c r="B49" s="198"/>
      <c r="C49" s="244"/>
      <c r="D49" s="244"/>
      <c r="E49" s="198"/>
      <c r="F49" s="185"/>
      <c r="G49" s="177"/>
      <c r="H49" s="191"/>
      <c r="I49" s="107"/>
      <c r="J49" s="192"/>
      <c r="K49" s="192"/>
      <c r="L49" s="99">
        <v>6</v>
      </c>
      <c r="M49" s="226" t="s">
        <v>341</v>
      </c>
      <c r="N49" s="99" t="s">
        <v>342</v>
      </c>
      <c r="O49" s="99">
        <f>J8*11</f>
        <v>132</v>
      </c>
      <c r="P49" s="99">
        <f t="shared" si="4"/>
        <v>132</v>
      </c>
      <c r="Q49" s="99">
        <f t="shared" si="5"/>
        <v>132</v>
      </c>
      <c r="R49" s="99">
        <f t="shared" si="6"/>
        <v>132</v>
      </c>
      <c r="S49" s="99" t="s">
        <v>222</v>
      </c>
      <c r="T49" s="99"/>
    </row>
    <row r="50" spans="1:20" ht="12.95" customHeight="1" x14ac:dyDescent="0.2">
      <c r="A50" s="244"/>
      <c r="B50" s="198"/>
      <c r="C50" s="244"/>
      <c r="D50" s="244"/>
      <c r="E50" s="198"/>
      <c r="F50" s="185"/>
      <c r="G50" s="177"/>
      <c r="H50" s="191"/>
      <c r="I50" s="107"/>
      <c r="J50" s="192"/>
      <c r="K50" s="192"/>
      <c r="L50" s="99">
        <v>7</v>
      </c>
      <c r="M50" s="226" t="s">
        <v>343</v>
      </c>
      <c r="N50" s="99" t="s">
        <v>340</v>
      </c>
      <c r="O50" s="99">
        <f>O49</f>
        <v>132</v>
      </c>
      <c r="P50" s="99">
        <f t="shared" si="4"/>
        <v>132</v>
      </c>
      <c r="Q50" s="99">
        <f t="shared" si="5"/>
        <v>132</v>
      </c>
      <c r="R50" s="99">
        <f t="shared" si="6"/>
        <v>132</v>
      </c>
      <c r="S50" s="99" t="s">
        <v>222</v>
      </c>
      <c r="T50" s="99"/>
    </row>
    <row r="51" spans="1:20" ht="12.95" customHeight="1" x14ac:dyDescent="0.2">
      <c r="A51" s="244"/>
      <c r="B51" s="198"/>
      <c r="C51" s="244"/>
      <c r="D51" s="244"/>
      <c r="E51" s="198"/>
      <c r="F51" s="185"/>
      <c r="G51" s="177"/>
      <c r="H51" s="191"/>
      <c r="I51" s="107"/>
      <c r="J51" s="192"/>
      <c r="K51" s="192"/>
      <c r="L51" s="99">
        <v>8</v>
      </c>
      <c r="M51" s="226" t="s">
        <v>344</v>
      </c>
      <c r="N51" s="99" t="s">
        <v>345</v>
      </c>
      <c r="O51" s="99">
        <f>O50</f>
        <v>132</v>
      </c>
      <c r="P51" s="99">
        <f t="shared" si="4"/>
        <v>132</v>
      </c>
      <c r="Q51" s="99">
        <f t="shared" si="5"/>
        <v>132</v>
      </c>
      <c r="R51" s="99">
        <f t="shared" si="6"/>
        <v>132</v>
      </c>
      <c r="S51" s="99" t="s">
        <v>222</v>
      </c>
      <c r="T51" s="99"/>
    </row>
    <row r="52" spans="1:20" ht="12.95" customHeight="1" x14ac:dyDescent="0.2">
      <c r="A52" s="244"/>
      <c r="B52" s="198"/>
      <c r="C52" s="244"/>
      <c r="D52" s="244"/>
      <c r="E52" s="198"/>
      <c r="F52" s="185"/>
      <c r="G52" s="177"/>
      <c r="H52" s="191"/>
      <c r="I52" s="107"/>
      <c r="J52" s="192"/>
      <c r="K52" s="192"/>
      <c r="L52" s="99">
        <v>9</v>
      </c>
      <c r="M52" s="226" t="s">
        <v>346</v>
      </c>
      <c r="N52" s="99" t="s">
        <v>347</v>
      </c>
      <c r="O52" s="99" t="str">
        <f>IF((AND(B40=30,E40=3400)),"48",IF((AND(B40=25,E40=3400)),"35",IF((AND(B40=20,E40=3400)),"24",IF((AND(B40=15,E40=3400)),"15",IF((AND(B40=30,E40=5100)),"120",IF((AND(B40=25,E40=5100)),"90",IF((AND(B40=20,E40=5100)),"64",IF((AND(B40=15,E40=5100)),"42"))))))))</f>
        <v>64</v>
      </c>
      <c r="P52" s="99">
        <f t="shared" si="4"/>
        <v>64</v>
      </c>
      <c r="Q52" s="99">
        <f t="shared" si="5"/>
        <v>64</v>
      </c>
      <c r="R52" s="99">
        <f t="shared" si="6"/>
        <v>64</v>
      </c>
      <c r="S52" s="99" t="s">
        <v>222</v>
      </c>
      <c r="T52" s="99"/>
    </row>
    <row r="53" spans="1:20" ht="12.95" customHeight="1" x14ac:dyDescent="0.2">
      <c r="A53" s="244"/>
      <c r="B53" s="198"/>
      <c r="C53" s="244"/>
      <c r="D53" s="244"/>
      <c r="E53" s="198"/>
      <c r="F53" s="185"/>
      <c r="G53" s="177"/>
      <c r="H53" s="191"/>
      <c r="I53" s="107"/>
      <c r="J53" s="192"/>
      <c r="K53" s="192"/>
      <c r="L53" s="99">
        <v>10</v>
      </c>
      <c r="M53" s="226" t="s">
        <v>348</v>
      </c>
      <c r="N53" s="99" t="s">
        <v>349</v>
      </c>
      <c r="O53" s="99" t="str">
        <f>O52</f>
        <v>64</v>
      </c>
      <c r="P53" s="99">
        <f t="shared" si="4"/>
        <v>64</v>
      </c>
      <c r="Q53" s="99">
        <f t="shared" si="5"/>
        <v>64</v>
      </c>
      <c r="R53" s="99">
        <f t="shared" si="6"/>
        <v>64</v>
      </c>
      <c r="S53" s="99" t="s">
        <v>222</v>
      </c>
      <c r="T53" s="99"/>
    </row>
    <row r="54" spans="1:20" ht="12.95" customHeight="1" x14ac:dyDescent="0.2">
      <c r="A54" s="244"/>
      <c r="B54" s="198"/>
      <c r="C54" s="244"/>
      <c r="D54" s="244"/>
      <c r="E54" s="198"/>
      <c r="F54" s="185"/>
      <c r="G54" s="177"/>
      <c r="H54" s="191"/>
      <c r="I54" s="107"/>
      <c r="J54" s="192"/>
      <c r="K54" s="192"/>
      <c r="L54" s="99">
        <v>11</v>
      </c>
      <c r="M54" s="226" t="s">
        <v>350</v>
      </c>
      <c r="N54" s="99" t="s">
        <v>351</v>
      </c>
      <c r="O54" s="99" t="str">
        <f>O52</f>
        <v>64</v>
      </c>
      <c r="P54" s="99">
        <f t="shared" si="4"/>
        <v>64</v>
      </c>
      <c r="Q54" s="99">
        <f t="shared" si="5"/>
        <v>64</v>
      </c>
      <c r="R54" s="99">
        <f t="shared" si="6"/>
        <v>64</v>
      </c>
      <c r="S54" s="99" t="s">
        <v>222</v>
      </c>
      <c r="T54" s="99"/>
    </row>
    <row r="55" spans="1:20" ht="12.95" customHeight="1" x14ac:dyDescent="0.2">
      <c r="A55" s="244"/>
      <c r="B55" s="198"/>
      <c r="C55" s="244"/>
      <c r="D55" s="244"/>
      <c r="E55" s="198"/>
      <c r="F55" s="185"/>
      <c r="G55" s="177"/>
      <c r="H55" s="191"/>
      <c r="I55" s="107"/>
      <c r="J55" s="192"/>
      <c r="K55" s="192"/>
      <c r="L55" s="99">
        <v>12</v>
      </c>
      <c r="M55" s="226" t="s">
        <v>352</v>
      </c>
      <c r="N55" s="99" t="s">
        <v>353</v>
      </c>
      <c r="O55" s="99">
        <f>J8*7</f>
        <v>84</v>
      </c>
      <c r="P55" s="99">
        <f t="shared" si="4"/>
        <v>84</v>
      </c>
      <c r="Q55" s="99">
        <f t="shared" si="5"/>
        <v>84</v>
      </c>
      <c r="R55" s="99">
        <f t="shared" si="6"/>
        <v>84</v>
      </c>
      <c r="S55" s="99" t="s">
        <v>222</v>
      </c>
      <c r="T55" s="99"/>
    </row>
    <row r="56" spans="1:20" ht="12.95" customHeight="1" x14ac:dyDescent="0.2">
      <c r="A56" s="244"/>
      <c r="B56" s="198"/>
      <c r="C56" s="244"/>
      <c r="D56" s="244"/>
      <c r="E56" s="198"/>
      <c r="F56" s="185"/>
      <c r="G56" s="177"/>
      <c r="H56" s="191"/>
      <c r="I56" s="107"/>
      <c r="J56" s="192"/>
      <c r="K56" s="192"/>
      <c r="L56" s="99">
        <v>13</v>
      </c>
      <c r="M56" s="226" t="s">
        <v>354</v>
      </c>
      <c r="N56" s="99" t="s">
        <v>342</v>
      </c>
      <c r="O56" s="99">
        <v>4</v>
      </c>
      <c r="P56" s="99">
        <f t="shared" si="4"/>
        <v>4</v>
      </c>
      <c r="Q56" s="99">
        <f t="shared" si="5"/>
        <v>4</v>
      </c>
      <c r="R56" s="99">
        <f t="shared" si="6"/>
        <v>4</v>
      </c>
      <c r="S56" s="99" t="s">
        <v>222</v>
      </c>
      <c r="T56" s="99"/>
    </row>
    <row r="57" spans="1:20" ht="12.95" customHeight="1" x14ac:dyDescent="0.2">
      <c r="A57" s="244"/>
      <c r="B57" s="198"/>
      <c r="C57" s="244"/>
      <c r="D57" s="244"/>
      <c r="E57" s="198"/>
      <c r="F57" s="185"/>
      <c r="G57" s="177"/>
      <c r="H57" s="191"/>
      <c r="I57" s="107"/>
      <c r="J57" s="192"/>
      <c r="K57" s="192"/>
      <c r="L57" s="99">
        <v>14</v>
      </c>
      <c r="M57" s="226" t="s">
        <v>355</v>
      </c>
      <c r="N57" s="99" t="s">
        <v>80</v>
      </c>
      <c r="O57" s="99">
        <v>4</v>
      </c>
      <c r="P57" s="99">
        <f t="shared" si="4"/>
        <v>4</v>
      </c>
      <c r="Q57" s="99">
        <f t="shared" si="5"/>
        <v>4</v>
      </c>
      <c r="R57" s="99">
        <f t="shared" si="6"/>
        <v>4</v>
      </c>
      <c r="S57" s="99" t="s">
        <v>222</v>
      </c>
      <c r="T57" s="99"/>
    </row>
    <row r="58" spans="1:20" ht="12.95" customHeight="1" x14ac:dyDescent="0.2">
      <c r="A58" s="245"/>
      <c r="B58" s="199"/>
      <c r="C58" s="245"/>
      <c r="D58" s="245"/>
      <c r="E58" s="199"/>
      <c r="F58" s="186"/>
      <c r="G58" s="183"/>
      <c r="H58" s="189"/>
      <c r="I58" s="110"/>
      <c r="J58" s="190"/>
      <c r="K58" s="190"/>
      <c r="L58" s="99">
        <v>15</v>
      </c>
      <c r="M58" s="226" t="s">
        <v>356</v>
      </c>
      <c r="N58" s="99" t="str">
        <f>IF(B8=30,"3x150x10000",IF(B8=25,"3x150x8500",IF(B8=20,"3x150x7000",IF(B8=15,"3x150x5500"))))</f>
        <v>3x150x7000</v>
      </c>
      <c r="O58" s="99">
        <v>1</v>
      </c>
      <c r="P58" s="99">
        <f t="shared" si="4"/>
        <v>1</v>
      </c>
      <c r="Q58" s="99">
        <f t="shared" si="5"/>
        <v>1</v>
      </c>
      <c r="R58" s="99">
        <f>IF(B8=30,"6.75",IF(B8=25,"5.73",IF(B8=20,"4.72",IF(B8=15,"3.71"))))*Q58</f>
        <v>4.72</v>
      </c>
      <c r="S58" s="99" t="s">
        <v>221</v>
      </c>
      <c r="T58" s="99"/>
    </row>
    <row r="73" spans="1:1" hidden="1" x14ac:dyDescent="0.2">
      <c r="A73" t="s">
        <v>357</v>
      </c>
    </row>
    <row r="74" spans="1:1" hidden="1" x14ac:dyDescent="0.2">
      <c r="A74" t="s">
        <v>358</v>
      </c>
    </row>
  </sheetData>
  <mergeCells count="40">
    <mergeCell ref="F40:F58"/>
    <mergeCell ref="G40:G58"/>
    <mergeCell ref="H44:H58"/>
    <mergeCell ref="I44:I58"/>
    <mergeCell ref="J44:J58"/>
    <mergeCell ref="K44:K58"/>
    <mergeCell ref="H20:H21"/>
    <mergeCell ref="I20:I21"/>
    <mergeCell ref="J20:J21"/>
    <mergeCell ref="K20:K21"/>
    <mergeCell ref="A38:C38"/>
    <mergeCell ref="A40:A58"/>
    <mergeCell ref="B40:B58"/>
    <mergeCell ref="C40:C58"/>
    <mergeCell ref="D40:D58"/>
    <mergeCell ref="E40:E58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="115" zoomScaleNormal="100" zoomScalePageLayoutView="115" workbookViewId="0">
      <selection activeCell="G7" sqref="G7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4.625" customWidth="1"/>
    <col min="6" max="6" width="5.375" customWidth="1"/>
    <col min="7" max="7" width="5.125" customWidth="1"/>
    <col min="8" max="8" width="6.75" customWidth="1"/>
    <col min="9" max="9" width="9.75" customWidth="1"/>
    <col min="10" max="10" width="5.375" customWidth="1"/>
    <col min="11" max="11" width="5.625" customWidth="1"/>
    <col min="12" max="12" width="5" customWidth="1"/>
    <col min="13" max="13" width="12.8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49" t="s">
        <v>0</v>
      </c>
      <c r="B6" s="50"/>
      <c r="C6" s="5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45" t="s">
        <v>1</v>
      </c>
      <c r="O6" s="12"/>
      <c r="P6" s="12"/>
      <c r="Q6" s="12"/>
      <c r="R6" s="21"/>
      <c r="S6" s="21"/>
      <c r="T6" s="17" t="s">
        <v>15</v>
      </c>
    </row>
    <row r="7" spans="1:20" ht="49.15" customHeight="1" x14ac:dyDescent="0.2">
      <c r="A7" s="20" t="s">
        <v>2</v>
      </c>
      <c r="B7" s="20" t="s">
        <v>280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4.25" customHeight="1" x14ac:dyDescent="0.2">
      <c r="A8" s="222" t="s">
        <v>281</v>
      </c>
      <c r="B8" s="219">
        <v>20</v>
      </c>
      <c r="C8" s="175">
        <v>1</v>
      </c>
      <c r="D8" s="215" t="s">
        <v>283</v>
      </c>
      <c r="E8" s="113" t="s">
        <v>359</v>
      </c>
      <c r="F8" s="193" t="s">
        <v>19</v>
      </c>
      <c r="G8" s="218">
        <f>F8*C8</f>
        <v>1</v>
      </c>
      <c r="H8" s="215" t="s">
        <v>283</v>
      </c>
      <c r="I8" s="112" t="s">
        <v>359</v>
      </c>
      <c r="J8" s="215">
        <v>1</v>
      </c>
      <c r="K8" s="215">
        <v>2</v>
      </c>
      <c r="L8" s="117" t="s">
        <v>19</v>
      </c>
      <c r="M8" s="171" t="s">
        <v>360</v>
      </c>
      <c r="N8" s="117" t="s">
        <v>361</v>
      </c>
      <c r="O8" s="117">
        <v>1</v>
      </c>
      <c r="P8" s="117">
        <f>O8*$F$8</f>
        <v>1</v>
      </c>
      <c r="Q8" s="117">
        <f>P8*$C$8</f>
        <v>1</v>
      </c>
      <c r="R8" s="117">
        <f>Q8*5.5</f>
        <v>5.5</v>
      </c>
      <c r="S8" s="117" t="s">
        <v>221</v>
      </c>
      <c r="T8" s="117"/>
    </row>
    <row r="9" spans="1:20" ht="14.25" customHeight="1" x14ac:dyDescent="0.2">
      <c r="A9" s="223"/>
      <c r="B9" s="220"/>
      <c r="C9" s="177"/>
      <c r="D9" s="215"/>
      <c r="E9" s="113"/>
      <c r="F9" s="193"/>
      <c r="G9" s="200"/>
      <c r="H9" s="215"/>
      <c r="I9" s="112"/>
      <c r="J9" s="215"/>
      <c r="K9" s="215"/>
      <c r="L9" s="117" t="s">
        <v>21</v>
      </c>
      <c r="M9" s="171" t="s">
        <v>362</v>
      </c>
      <c r="N9" s="117" t="s">
        <v>363</v>
      </c>
      <c r="O9" s="117">
        <v>1</v>
      </c>
      <c r="P9" s="117">
        <f t="shared" ref="P9:P18" si="0">O9*$F$8</f>
        <v>1</v>
      </c>
      <c r="Q9" s="117">
        <f t="shared" ref="Q9:Q18" si="1">P9*$C$8</f>
        <v>1</v>
      </c>
      <c r="R9" s="117">
        <f>15.19*Q9</f>
        <v>15.19</v>
      </c>
      <c r="S9" s="117" t="s">
        <v>221</v>
      </c>
      <c r="T9" s="117"/>
    </row>
    <row r="10" spans="1:20" ht="14.25" customHeight="1" x14ac:dyDescent="0.2">
      <c r="A10" s="223"/>
      <c r="B10" s="220"/>
      <c r="C10" s="177"/>
      <c r="D10" s="215"/>
      <c r="E10" s="113"/>
      <c r="F10" s="193"/>
      <c r="G10" s="200"/>
      <c r="H10" s="215"/>
      <c r="I10" s="112"/>
      <c r="J10" s="215"/>
      <c r="K10" s="215"/>
      <c r="L10" s="117" t="s">
        <v>23</v>
      </c>
      <c r="M10" s="171" t="s">
        <v>364</v>
      </c>
      <c r="N10" s="117" t="str">
        <f>IF(B8=30,"4x234x1648",IF(B8=20,"4x234x1192",IF(B8=25,"4x234x1420",IF(B8=15,"4x234x964"))))</f>
        <v>4x234x1192</v>
      </c>
      <c r="O10" s="117">
        <v>2</v>
      </c>
      <c r="P10" s="117">
        <f t="shared" si="0"/>
        <v>2</v>
      </c>
      <c r="Q10" s="117">
        <f t="shared" si="1"/>
        <v>2</v>
      </c>
      <c r="R10" s="117">
        <f>(IF(B8=30,"12.1",IF(B8=20,"8.75",IF(B8=25,"10.42",IF(B8=15,"7")))))*Q10</f>
        <v>17.5</v>
      </c>
      <c r="S10" s="117" t="s">
        <v>221</v>
      </c>
      <c r="T10" s="117"/>
    </row>
    <row r="11" spans="1:20" ht="14.25" customHeight="1" thickBot="1" x14ac:dyDescent="0.25">
      <c r="A11" s="223"/>
      <c r="B11" s="220"/>
      <c r="C11" s="177"/>
      <c r="D11" s="215"/>
      <c r="E11" s="113"/>
      <c r="F11" s="193"/>
      <c r="G11" s="200"/>
      <c r="H11" s="216"/>
      <c r="I11" s="120"/>
      <c r="J11" s="216"/>
      <c r="K11" s="216"/>
      <c r="L11" s="117" t="s">
        <v>26</v>
      </c>
      <c r="M11" s="171" t="s">
        <v>365</v>
      </c>
      <c r="N11" s="117" t="s">
        <v>366</v>
      </c>
      <c r="O11" s="117">
        <v>4</v>
      </c>
      <c r="P11" s="117">
        <f t="shared" si="0"/>
        <v>4</v>
      </c>
      <c r="Q11" s="117">
        <f t="shared" si="1"/>
        <v>4</v>
      </c>
      <c r="R11" s="117">
        <f>0.75*Q11</f>
        <v>3</v>
      </c>
      <c r="S11" s="117" t="s">
        <v>221</v>
      </c>
      <c r="T11" s="117"/>
    </row>
    <row r="12" spans="1:20" ht="14.25" customHeight="1" thickBot="1" x14ac:dyDescent="0.25">
      <c r="A12" s="223"/>
      <c r="B12" s="220"/>
      <c r="C12" s="177"/>
      <c r="D12" s="215"/>
      <c r="E12" s="113"/>
      <c r="F12" s="193"/>
      <c r="G12" s="200"/>
      <c r="H12" s="217" t="s">
        <v>44</v>
      </c>
      <c r="I12" s="121" t="s">
        <v>367</v>
      </c>
      <c r="J12" s="217">
        <v>1</v>
      </c>
      <c r="K12" s="217">
        <v>2</v>
      </c>
      <c r="L12" s="117" t="s">
        <v>19</v>
      </c>
      <c r="M12" s="171" t="s">
        <v>367</v>
      </c>
      <c r="N12" s="117" t="s">
        <v>368</v>
      </c>
      <c r="O12" s="117">
        <v>1</v>
      </c>
      <c r="P12" s="117">
        <f t="shared" si="0"/>
        <v>1</v>
      </c>
      <c r="Q12" s="117">
        <f t="shared" si="1"/>
        <v>1</v>
      </c>
      <c r="R12" s="117">
        <f>Q12</f>
        <v>1</v>
      </c>
      <c r="S12" s="117" t="s">
        <v>222</v>
      </c>
      <c r="T12" s="117"/>
    </row>
    <row r="13" spans="1:20" ht="14.25" customHeight="1" x14ac:dyDescent="0.2">
      <c r="A13" s="223"/>
      <c r="B13" s="220"/>
      <c r="C13" s="177"/>
      <c r="D13" s="215"/>
      <c r="E13" s="113"/>
      <c r="F13" s="193"/>
      <c r="G13" s="200"/>
      <c r="H13" s="186" t="s">
        <v>292</v>
      </c>
      <c r="I13" s="122" t="s">
        <v>330</v>
      </c>
      <c r="J13" s="186">
        <v>1</v>
      </c>
      <c r="K13" s="186">
        <v>2</v>
      </c>
      <c r="L13" s="117" t="s">
        <v>19</v>
      </c>
      <c r="M13" s="171" t="s">
        <v>369</v>
      </c>
      <c r="N13" s="117" t="s">
        <v>370</v>
      </c>
      <c r="O13" s="117">
        <v>2</v>
      </c>
      <c r="P13" s="117">
        <f t="shared" si="0"/>
        <v>2</v>
      </c>
      <c r="Q13" s="117">
        <f t="shared" si="1"/>
        <v>2</v>
      </c>
      <c r="R13" s="117">
        <f t="shared" ref="R13:R18" si="2">Q13</f>
        <v>2</v>
      </c>
      <c r="S13" s="117" t="s">
        <v>222</v>
      </c>
      <c r="T13" s="117"/>
    </row>
    <row r="14" spans="1:20" ht="14.25" customHeight="1" x14ac:dyDescent="0.2">
      <c r="A14" s="223"/>
      <c r="B14" s="220"/>
      <c r="C14" s="177"/>
      <c r="D14" s="215"/>
      <c r="E14" s="113"/>
      <c r="F14" s="193"/>
      <c r="G14" s="200"/>
      <c r="H14" s="193"/>
      <c r="I14" s="113"/>
      <c r="J14" s="193"/>
      <c r="K14" s="193"/>
      <c r="L14" s="117" t="s">
        <v>21</v>
      </c>
      <c r="M14" s="171" t="s">
        <v>371</v>
      </c>
      <c r="N14" s="117" t="s">
        <v>372</v>
      </c>
      <c r="O14" s="117">
        <v>2</v>
      </c>
      <c r="P14" s="117">
        <f t="shared" si="0"/>
        <v>2</v>
      </c>
      <c r="Q14" s="117">
        <f t="shared" si="1"/>
        <v>2</v>
      </c>
      <c r="R14" s="117">
        <f t="shared" si="2"/>
        <v>2</v>
      </c>
      <c r="S14" s="117" t="s">
        <v>222</v>
      </c>
      <c r="T14" s="117"/>
    </row>
    <row r="15" spans="1:20" ht="14.25" customHeight="1" x14ac:dyDescent="0.2">
      <c r="A15" s="223"/>
      <c r="B15" s="220"/>
      <c r="C15" s="177"/>
      <c r="D15" s="215"/>
      <c r="E15" s="113"/>
      <c r="F15" s="193"/>
      <c r="G15" s="200"/>
      <c r="H15" s="193"/>
      <c r="I15" s="113"/>
      <c r="J15" s="193"/>
      <c r="K15" s="193"/>
      <c r="L15" s="117" t="s">
        <v>23</v>
      </c>
      <c r="M15" s="171" t="s">
        <v>373</v>
      </c>
      <c r="N15" s="117" t="s">
        <v>374</v>
      </c>
      <c r="O15" s="117">
        <v>2</v>
      </c>
      <c r="P15" s="117">
        <f t="shared" si="0"/>
        <v>2</v>
      </c>
      <c r="Q15" s="117">
        <f t="shared" si="1"/>
        <v>2</v>
      </c>
      <c r="R15" s="117">
        <f t="shared" si="2"/>
        <v>2</v>
      </c>
      <c r="S15" s="117" t="s">
        <v>222</v>
      </c>
      <c r="T15" s="117"/>
    </row>
    <row r="16" spans="1:20" ht="14.25" customHeight="1" x14ac:dyDescent="0.2">
      <c r="A16" s="223"/>
      <c r="B16" s="220"/>
      <c r="C16" s="177"/>
      <c r="D16" s="215"/>
      <c r="E16" s="113"/>
      <c r="F16" s="193"/>
      <c r="G16" s="200"/>
      <c r="H16" s="193"/>
      <c r="I16" s="113"/>
      <c r="J16" s="193"/>
      <c r="K16" s="193"/>
      <c r="L16" s="117" t="s">
        <v>26</v>
      </c>
      <c r="M16" s="171" t="s">
        <v>375</v>
      </c>
      <c r="N16" s="117" t="s">
        <v>374</v>
      </c>
      <c r="O16" s="117">
        <v>2</v>
      </c>
      <c r="P16" s="117">
        <f t="shared" si="0"/>
        <v>2</v>
      </c>
      <c r="Q16" s="117">
        <f t="shared" si="1"/>
        <v>2</v>
      </c>
      <c r="R16" s="117">
        <f t="shared" si="2"/>
        <v>2</v>
      </c>
      <c r="S16" s="117" t="s">
        <v>222</v>
      </c>
      <c r="T16" s="117"/>
    </row>
    <row r="17" spans="1:20" ht="14.25" customHeight="1" x14ac:dyDescent="0.2">
      <c r="A17" s="223"/>
      <c r="B17" s="220"/>
      <c r="C17" s="177"/>
      <c r="D17" s="215"/>
      <c r="E17" s="113"/>
      <c r="F17" s="193"/>
      <c r="G17" s="200"/>
      <c r="H17" s="193"/>
      <c r="I17" s="113"/>
      <c r="J17" s="193"/>
      <c r="K17" s="193"/>
      <c r="L17" s="117" t="s">
        <v>29</v>
      </c>
      <c r="M17" s="171" t="s">
        <v>376</v>
      </c>
      <c r="N17" s="117" t="s">
        <v>377</v>
      </c>
      <c r="O17" s="117">
        <v>4</v>
      </c>
      <c r="P17" s="117">
        <f t="shared" si="0"/>
        <v>4</v>
      </c>
      <c r="Q17" s="117">
        <f t="shared" si="1"/>
        <v>4</v>
      </c>
      <c r="R17" s="117">
        <f t="shared" si="2"/>
        <v>4</v>
      </c>
      <c r="S17" s="117" t="s">
        <v>222</v>
      </c>
      <c r="T17" s="117"/>
    </row>
    <row r="18" spans="1:20" ht="14.25" customHeight="1" x14ac:dyDescent="0.2">
      <c r="A18" s="224"/>
      <c r="B18" s="221"/>
      <c r="C18" s="183"/>
      <c r="D18" s="215"/>
      <c r="E18" s="113"/>
      <c r="F18" s="193"/>
      <c r="G18" s="200"/>
      <c r="H18" s="193"/>
      <c r="I18" s="113"/>
      <c r="J18" s="193"/>
      <c r="K18" s="193"/>
      <c r="L18" s="117" t="s">
        <v>32</v>
      </c>
      <c r="M18" s="171" t="s">
        <v>79</v>
      </c>
      <c r="N18" s="117" t="s">
        <v>378</v>
      </c>
      <c r="O18" s="117">
        <v>4</v>
      </c>
      <c r="P18" s="117">
        <f t="shared" si="0"/>
        <v>4</v>
      </c>
      <c r="Q18" s="117">
        <f t="shared" si="1"/>
        <v>4</v>
      </c>
      <c r="R18" s="117">
        <f t="shared" si="2"/>
        <v>4</v>
      </c>
      <c r="S18" s="117" t="s">
        <v>222</v>
      </c>
      <c r="T18" s="117"/>
    </row>
    <row r="19" spans="1:20" x14ac:dyDescent="0.2">
      <c r="J19" s="5"/>
      <c r="K19" s="5"/>
    </row>
    <row r="21" spans="1:20" x14ac:dyDescent="0.2">
      <c r="Q21" s="126"/>
    </row>
    <row r="25" spans="1:20" ht="15.75" x14ac:dyDescent="0.2">
      <c r="M25" s="127"/>
    </row>
    <row r="26" spans="1:20" hidden="1" x14ac:dyDescent="0.2">
      <c r="B26" s="128">
        <v>15</v>
      </c>
    </row>
    <row r="27" spans="1:20" hidden="1" x14ac:dyDescent="0.2">
      <c r="B27" s="128">
        <v>20</v>
      </c>
    </row>
    <row r="28" spans="1:20" hidden="1" x14ac:dyDescent="0.2">
      <c r="B28" s="128">
        <v>25</v>
      </c>
    </row>
    <row r="29" spans="1:20" hidden="1" x14ac:dyDescent="0.2">
      <c r="B29" s="128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A6:C6"/>
    <mergeCell ref="A8:A18"/>
    <mergeCell ref="B8:B18"/>
    <mergeCell ref="C8:C18"/>
    <mergeCell ref="D8:D18"/>
    <mergeCell ref="E8:E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52"/>
  <sheetViews>
    <sheetView view="pageLayout" zoomScaleNormal="100" workbookViewId="0">
      <selection activeCell="F62" sqref="F62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4.5" customWidth="1"/>
    <col min="5" max="6" width="5.375" customWidth="1"/>
    <col min="7" max="7" width="5.125" customWidth="1"/>
    <col min="8" max="8" width="5.75" customWidth="1"/>
    <col min="9" max="9" width="7.125" customWidth="1"/>
    <col min="10" max="10" width="5.375" customWidth="1"/>
    <col min="11" max="11" width="5.625" customWidth="1"/>
    <col min="12" max="12" width="5" customWidth="1"/>
    <col min="13" max="13" width="16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5.25" customHeight="1" x14ac:dyDescent="0.2"/>
    <row r="6" spans="1:20" ht="19.5" x14ac:dyDescent="0.2">
      <c r="A6" s="49" t="s">
        <v>0</v>
      </c>
      <c r="B6" s="50"/>
      <c r="C6" s="5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45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280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x14ac:dyDescent="0.2">
      <c r="A8" s="202" t="s">
        <v>281</v>
      </c>
      <c r="B8" s="203">
        <v>20</v>
      </c>
      <c r="C8" s="203">
        <v>1</v>
      </c>
      <c r="D8" s="202" t="s">
        <v>292</v>
      </c>
      <c r="E8" s="129" t="s">
        <v>379</v>
      </c>
      <c r="F8" s="201">
        <v>1</v>
      </c>
      <c r="G8" s="200">
        <f>C8*F8</f>
        <v>1</v>
      </c>
      <c r="H8" s="200" t="s">
        <v>283</v>
      </c>
      <c r="I8" s="119" t="s">
        <v>379</v>
      </c>
      <c r="J8" s="200">
        <v>1</v>
      </c>
      <c r="K8" s="200">
        <f>J8*G8</f>
        <v>1</v>
      </c>
      <c r="L8" s="130" t="s">
        <v>19</v>
      </c>
      <c r="M8" s="204" t="s">
        <v>360</v>
      </c>
      <c r="N8" s="130" t="s">
        <v>380</v>
      </c>
      <c r="O8" s="130">
        <v>1</v>
      </c>
      <c r="P8" s="73">
        <f>O8*$F$8</f>
        <v>1</v>
      </c>
      <c r="Q8" s="73">
        <f>P8*$C$8</f>
        <v>1</v>
      </c>
      <c r="R8" s="73">
        <f>5.65*Q8</f>
        <v>5.65</v>
      </c>
      <c r="S8" s="73" t="s">
        <v>221</v>
      </c>
      <c r="T8" s="131"/>
    </row>
    <row r="9" spans="1:20" x14ac:dyDescent="0.2">
      <c r="A9" s="202"/>
      <c r="B9" s="203"/>
      <c r="C9" s="203"/>
      <c r="D9" s="202"/>
      <c r="E9" s="129"/>
      <c r="F9" s="201"/>
      <c r="G9" s="200"/>
      <c r="H9" s="200"/>
      <c r="I9" s="119"/>
      <c r="J9" s="200"/>
      <c r="K9" s="200"/>
      <c r="L9" s="130" t="s">
        <v>21</v>
      </c>
      <c r="M9" s="204" t="s">
        <v>362</v>
      </c>
      <c r="N9" s="130" t="s">
        <v>381</v>
      </c>
      <c r="O9" s="130">
        <v>3</v>
      </c>
      <c r="P9" s="73">
        <f t="shared" ref="P9:P23" si="0">O9*$F$8</f>
        <v>3</v>
      </c>
      <c r="Q9" s="73">
        <f t="shared" ref="Q9:Q23" si="1">P9*$C$8</f>
        <v>3</v>
      </c>
      <c r="R9" s="73">
        <f>Q9*1.5</f>
        <v>4.5</v>
      </c>
      <c r="S9" s="73" t="s">
        <v>221</v>
      </c>
      <c r="T9" s="131"/>
    </row>
    <row r="10" spans="1:20" x14ac:dyDescent="0.2">
      <c r="A10" s="202"/>
      <c r="B10" s="203"/>
      <c r="C10" s="203"/>
      <c r="D10" s="202"/>
      <c r="E10" s="129"/>
      <c r="F10" s="201"/>
      <c r="G10" s="200"/>
      <c r="H10" s="200"/>
      <c r="I10" s="119"/>
      <c r="J10" s="200"/>
      <c r="K10" s="200"/>
      <c r="L10" s="130" t="s">
        <v>23</v>
      </c>
      <c r="M10" s="204" t="s">
        <v>382</v>
      </c>
      <c r="N10" s="130" t="s">
        <v>383</v>
      </c>
      <c r="O10" s="130">
        <v>1</v>
      </c>
      <c r="P10" s="73">
        <f t="shared" si="0"/>
        <v>1</v>
      </c>
      <c r="Q10" s="73">
        <f t="shared" si="1"/>
        <v>1</v>
      </c>
      <c r="R10" s="73">
        <f>2.3*Q10</f>
        <v>2.2999999999999998</v>
      </c>
      <c r="S10" s="73" t="s">
        <v>221</v>
      </c>
      <c r="T10" s="131"/>
    </row>
    <row r="11" spans="1:20" x14ac:dyDescent="0.2">
      <c r="A11" s="202"/>
      <c r="B11" s="203"/>
      <c r="C11" s="203"/>
      <c r="D11" s="202"/>
      <c r="E11" s="129"/>
      <c r="F11" s="201"/>
      <c r="G11" s="200"/>
      <c r="H11" s="200"/>
      <c r="I11" s="119"/>
      <c r="J11" s="200"/>
      <c r="K11" s="200"/>
      <c r="L11" s="130" t="s">
        <v>26</v>
      </c>
      <c r="M11" s="204" t="s">
        <v>384</v>
      </c>
      <c r="N11" s="89" t="str">
        <f>IF(B8=30,"70x70,L=1677",IF(B8=20,"70x70,L=1213",IF(B8=25,"70x70,L=1445",IF(B8=15,"70x70,L=981"))))</f>
        <v>70x70,L=1213</v>
      </c>
      <c r="O11" s="130">
        <v>2</v>
      </c>
      <c r="P11" s="73">
        <f t="shared" si="0"/>
        <v>2</v>
      </c>
      <c r="Q11" s="73">
        <f t="shared" si="1"/>
        <v>2</v>
      </c>
      <c r="R11" s="89">
        <f>(IF(B8=30,"11",IF(B8=20,"8",IF(B8=25,"9.53",IF(B8=15,"6.46")))))*Q11</f>
        <v>16</v>
      </c>
      <c r="S11" s="73" t="s">
        <v>221</v>
      </c>
      <c r="T11" s="131"/>
    </row>
    <row r="12" spans="1:20" x14ac:dyDescent="0.2">
      <c r="A12" s="202"/>
      <c r="B12" s="203"/>
      <c r="C12" s="203"/>
      <c r="D12" s="202"/>
      <c r="E12" s="129"/>
      <c r="F12" s="201"/>
      <c r="G12" s="200"/>
      <c r="H12" s="200"/>
      <c r="I12" s="119"/>
      <c r="J12" s="200"/>
      <c r="K12" s="200"/>
      <c r="L12" s="130" t="s">
        <v>29</v>
      </c>
      <c r="M12" s="204" t="s">
        <v>385</v>
      </c>
      <c r="N12" s="89" t="str">
        <f>IF(B8=30,"70x70,L=1718",IF(B8=20,"70x70,L=1177",IF(B8=25,"70x70,L=1447",IF(B8=15,"70x70,L=906"))))</f>
        <v>70x70,L=1177</v>
      </c>
      <c r="O12" s="130">
        <v>1</v>
      </c>
      <c r="P12" s="73">
        <f t="shared" si="0"/>
        <v>1</v>
      </c>
      <c r="Q12" s="73">
        <f t="shared" si="1"/>
        <v>1</v>
      </c>
      <c r="R12" s="89">
        <f>(IF(B8=30,"12.1",IF(B8=20,"8.75",IF(B8=25,"10.42",IF(B8=15,"7")))))*Q12</f>
        <v>8.75</v>
      </c>
      <c r="S12" s="73" t="s">
        <v>221</v>
      </c>
      <c r="T12" s="131"/>
    </row>
    <row r="13" spans="1:20" x14ac:dyDescent="0.2">
      <c r="A13" s="202"/>
      <c r="B13" s="203"/>
      <c r="C13" s="203"/>
      <c r="D13" s="202"/>
      <c r="E13" s="129"/>
      <c r="F13" s="201"/>
      <c r="G13" s="200"/>
      <c r="H13" s="200"/>
      <c r="I13" s="119"/>
      <c r="J13" s="200"/>
      <c r="K13" s="200"/>
      <c r="L13" s="130" t="s">
        <v>32</v>
      </c>
      <c r="M13" s="204" t="s">
        <v>386</v>
      </c>
      <c r="N13" s="89" t="str">
        <f>IF(B8=30,"3x270x700",IF(B8=20,"3x270x500",IF(B8=25,"3x270x600",IF(B8=15,"3x270x400"))))</f>
        <v>3x270x500</v>
      </c>
      <c r="O13" s="130">
        <v>1</v>
      </c>
      <c r="P13" s="73">
        <f t="shared" si="0"/>
        <v>1</v>
      </c>
      <c r="Q13" s="73">
        <f t="shared" si="1"/>
        <v>1</v>
      </c>
      <c r="R13" s="89">
        <f>(IF(B8=30,"4.45",IF(B8=20,"3.18",IF(B8=25,"3.81",IF(B8=15,"2.54")))))*Q13</f>
        <v>3.18</v>
      </c>
      <c r="S13" s="73" t="s">
        <v>221</v>
      </c>
      <c r="T13" s="131"/>
    </row>
    <row r="14" spans="1:20" ht="28.5" x14ac:dyDescent="0.2">
      <c r="A14" s="202"/>
      <c r="B14" s="203"/>
      <c r="C14" s="203"/>
      <c r="D14" s="202"/>
      <c r="E14" s="129"/>
      <c r="F14" s="201"/>
      <c r="G14" s="200"/>
      <c r="H14" s="200"/>
      <c r="I14" s="119"/>
      <c r="J14" s="200"/>
      <c r="K14" s="200"/>
      <c r="L14" s="130" t="s">
        <v>35</v>
      </c>
      <c r="M14" s="205" t="s">
        <v>387</v>
      </c>
      <c r="N14" s="130" t="s">
        <v>388</v>
      </c>
      <c r="O14" s="130">
        <v>1</v>
      </c>
      <c r="P14" s="73">
        <f t="shared" si="0"/>
        <v>1</v>
      </c>
      <c r="Q14" s="73">
        <f t="shared" si="1"/>
        <v>1</v>
      </c>
      <c r="R14" s="73">
        <f>1.06*Q14</f>
        <v>1.06</v>
      </c>
      <c r="S14" s="73" t="s">
        <v>221</v>
      </c>
      <c r="T14" s="131"/>
    </row>
    <row r="15" spans="1:20" x14ac:dyDescent="0.2">
      <c r="A15" s="202"/>
      <c r="B15" s="203"/>
      <c r="C15" s="203"/>
      <c r="D15" s="202"/>
      <c r="E15" s="129"/>
      <c r="F15" s="201"/>
      <c r="G15" s="200"/>
      <c r="H15" s="200"/>
      <c r="I15" s="119"/>
      <c r="J15" s="200"/>
      <c r="K15" s="200"/>
      <c r="L15" s="130" t="s">
        <v>37</v>
      </c>
      <c r="M15" s="204" t="s">
        <v>389</v>
      </c>
      <c r="N15" s="130" t="s">
        <v>390</v>
      </c>
      <c r="O15" s="130">
        <v>1</v>
      </c>
      <c r="P15" s="73">
        <f t="shared" si="0"/>
        <v>1</v>
      </c>
      <c r="Q15" s="73">
        <f t="shared" si="1"/>
        <v>1</v>
      </c>
      <c r="R15" s="73">
        <f>0.33*Q15</f>
        <v>0.33</v>
      </c>
      <c r="S15" s="73" t="s">
        <v>221</v>
      </c>
      <c r="T15" s="131"/>
    </row>
    <row r="16" spans="1:20" x14ac:dyDescent="0.2">
      <c r="A16" s="202"/>
      <c r="B16" s="203"/>
      <c r="C16" s="203"/>
      <c r="D16" s="202"/>
      <c r="E16" s="129"/>
      <c r="F16" s="201"/>
      <c r="G16" s="200"/>
      <c r="H16" s="200"/>
      <c r="I16" s="119"/>
      <c r="J16" s="200"/>
      <c r="K16" s="200"/>
      <c r="L16" s="130" t="s">
        <v>40</v>
      </c>
      <c r="M16" s="204" t="s">
        <v>391</v>
      </c>
      <c r="N16" s="130" t="s">
        <v>392</v>
      </c>
      <c r="O16" s="130">
        <v>1</v>
      </c>
      <c r="P16" s="73">
        <f t="shared" si="0"/>
        <v>1</v>
      </c>
      <c r="Q16" s="73">
        <f t="shared" si="1"/>
        <v>1</v>
      </c>
      <c r="R16" s="73">
        <f>0.15*Q16</f>
        <v>0.15</v>
      </c>
      <c r="S16" s="73" t="s">
        <v>221</v>
      </c>
      <c r="T16" s="131"/>
    </row>
    <row r="17" spans="1:20" x14ac:dyDescent="0.2">
      <c r="A17" s="202"/>
      <c r="B17" s="203"/>
      <c r="C17" s="203"/>
      <c r="D17" s="202"/>
      <c r="E17" s="129"/>
      <c r="F17" s="201"/>
      <c r="G17" s="200"/>
      <c r="H17" s="200"/>
      <c r="I17" s="119"/>
      <c r="J17" s="200"/>
      <c r="K17" s="200"/>
      <c r="L17" s="130" t="s">
        <v>51</v>
      </c>
      <c r="M17" s="204" t="s">
        <v>393</v>
      </c>
      <c r="N17" s="89" t="str">
        <f>IF(B8=30,"40x40,L=700",IF(B8=20,"40x40,L=500",IF(B8=25,"40x40,L=600",IF(B8=15,"40x40,L=400"))))</f>
        <v>40x40,L=500</v>
      </c>
      <c r="O17" s="130">
        <v>1</v>
      </c>
      <c r="P17" s="73">
        <f t="shared" si="0"/>
        <v>1</v>
      </c>
      <c r="Q17" s="73">
        <f t="shared" si="1"/>
        <v>1</v>
      </c>
      <c r="R17" s="89">
        <f>(IF(B8=30,"1.75",IF(B8=20,"1.25",IF(B8=25,"1.5",IF(B8=15,"1")))))*Q17</f>
        <v>1.25</v>
      </c>
      <c r="S17" s="73" t="s">
        <v>221</v>
      </c>
      <c r="T17" s="131"/>
    </row>
    <row r="18" spans="1:20" x14ac:dyDescent="0.2">
      <c r="A18" s="202"/>
      <c r="B18" s="203"/>
      <c r="C18" s="203"/>
      <c r="D18" s="202"/>
      <c r="E18" s="129"/>
      <c r="F18" s="201"/>
      <c r="G18" s="200"/>
      <c r="H18" s="200"/>
      <c r="I18" s="119"/>
      <c r="J18" s="200"/>
      <c r="K18" s="200"/>
      <c r="L18" s="130" t="s">
        <v>52</v>
      </c>
      <c r="M18" s="204" t="s">
        <v>394</v>
      </c>
      <c r="N18" s="89" t="str">
        <f>IF(B8=30,"40x40,L=800",IF(B8=20,"40x40,L=600",IF(B8=25,"40x40,L=700",IF(B8=15,"40x40,L=500"))))</f>
        <v>40x40,L=600</v>
      </c>
      <c r="O18" s="130">
        <v>1</v>
      </c>
      <c r="P18" s="73">
        <f t="shared" si="0"/>
        <v>1</v>
      </c>
      <c r="Q18" s="73">
        <f t="shared" si="1"/>
        <v>1</v>
      </c>
      <c r="R18" s="89">
        <f>(IF(B8=30,"2",IF(B8=20,"1.5",IF(B8=25,"1.75",IF(B8=15,"1.25")))))*Q18</f>
        <v>1.5</v>
      </c>
      <c r="S18" s="73" t="s">
        <v>221</v>
      </c>
      <c r="T18" s="131"/>
    </row>
    <row r="19" spans="1:20" x14ac:dyDescent="0.2">
      <c r="A19" s="202"/>
      <c r="B19" s="203"/>
      <c r="C19" s="203"/>
      <c r="D19" s="202"/>
      <c r="E19" s="129"/>
      <c r="F19" s="201"/>
      <c r="G19" s="200"/>
      <c r="H19" s="200"/>
      <c r="I19" s="119"/>
      <c r="J19" s="200"/>
      <c r="K19" s="200"/>
      <c r="L19" s="130" t="s">
        <v>53</v>
      </c>
      <c r="M19" s="204" t="s">
        <v>395</v>
      </c>
      <c r="N19" s="130" t="s">
        <v>396</v>
      </c>
      <c r="O19" s="130">
        <v>1</v>
      </c>
      <c r="P19" s="73">
        <f t="shared" si="0"/>
        <v>1</v>
      </c>
      <c r="Q19" s="73">
        <f t="shared" si="1"/>
        <v>1</v>
      </c>
      <c r="R19" s="73">
        <f>Q19*1.68</f>
        <v>1.68</v>
      </c>
      <c r="S19" s="73" t="s">
        <v>221</v>
      </c>
      <c r="T19" s="131"/>
    </row>
    <row r="20" spans="1:20" x14ac:dyDescent="0.2">
      <c r="A20" s="202"/>
      <c r="B20" s="203"/>
      <c r="C20" s="203"/>
      <c r="D20" s="202"/>
      <c r="E20" s="129"/>
      <c r="F20" s="201"/>
      <c r="G20" s="200"/>
      <c r="H20" s="200"/>
      <c r="I20" s="119"/>
      <c r="J20" s="200"/>
      <c r="K20" s="200"/>
      <c r="L20" s="130" t="s">
        <v>57</v>
      </c>
      <c r="M20" s="204" t="s">
        <v>397</v>
      </c>
      <c r="N20" s="130" t="s">
        <v>398</v>
      </c>
      <c r="O20" s="130">
        <v>3</v>
      </c>
      <c r="P20" s="73">
        <f t="shared" si="0"/>
        <v>3</v>
      </c>
      <c r="Q20" s="73">
        <f t="shared" si="1"/>
        <v>3</v>
      </c>
      <c r="R20" s="73">
        <f>0.126*Q20</f>
        <v>0.378</v>
      </c>
      <c r="S20" s="73" t="s">
        <v>221</v>
      </c>
      <c r="T20" s="131"/>
    </row>
    <row r="21" spans="1:20" x14ac:dyDescent="0.2">
      <c r="A21" s="202"/>
      <c r="B21" s="203"/>
      <c r="C21" s="203"/>
      <c r="D21" s="202"/>
      <c r="E21" s="129"/>
      <c r="F21" s="201"/>
      <c r="G21" s="200"/>
      <c r="H21" s="200"/>
      <c r="I21" s="119"/>
      <c r="J21" s="200"/>
      <c r="K21" s="200"/>
      <c r="L21" s="130" t="s">
        <v>58</v>
      </c>
      <c r="M21" s="204" t="s">
        <v>399</v>
      </c>
      <c r="N21" s="130" t="s">
        <v>400</v>
      </c>
      <c r="O21" s="130">
        <v>2</v>
      </c>
      <c r="P21" s="73">
        <f t="shared" si="0"/>
        <v>2</v>
      </c>
      <c r="Q21" s="73">
        <f t="shared" si="1"/>
        <v>2</v>
      </c>
      <c r="R21" s="73">
        <f>Q21*0.1</f>
        <v>0.2</v>
      </c>
      <c r="S21" s="73" t="s">
        <v>221</v>
      </c>
      <c r="T21" s="41"/>
    </row>
    <row r="22" spans="1:20" x14ac:dyDescent="0.2">
      <c r="A22" s="202"/>
      <c r="B22" s="203"/>
      <c r="C22" s="203"/>
      <c r="D22" s="202"/>
      <c r="E22" s="129"/>
      <c r="F22" s="201"/>
      <c r="G22" s="200"/>
      <c r="H22" s="200"/>
      <c r="I22" s="119"/>
      <c r="J22" s="200"/>
      <c r="K22" s="200"/>
      <c r="L22" s="130">
        <v>15</v>
      </c>
      <c r="M22" s="204" t="s">
        <v>401</v>
      </c>
      <c r="N22" s="130" t="s">
        <v>402</v>
      </c>
      <c r="O22" s="130">
        <v>1</v>
      </c>
      <c r="P22" s="73">
        <f t="shared" si="0"/>
        <v>1</v>
      </c>
      <c r="Q22" s="73">
        <f t="shared" si="1"/>
        <v>1</v>
      </c>
      <c r="R22" s="73">
        <f>Q22*0.254</f>
        <v>0.254</v>
      </c>
      <c r="S22" s="73" t="s">
        <v>221</v>
      </c>
      <c r="T22" s="131"/>
    </row>
    <row r="23" spans="1:20" x14ac:dyDescent="0.2">
      <c r="A23" s="202"/>
      <c r="B23" s="203"/>
      <c r="C23" s="203"/>
      <c r="D23" s="202"/>
      <c r="E23" s="129"/>
      <c r="F23" s="201"/>
      <c r="G23" s="200"/>
      <c r="H23" s="200"/>
      <c r="I23" s="119"/>
      <c r="J23" s="200"/>
      <c r="K23" s="200"/>
      <c r="L23" s="130">
        <v>16</v>
      </c>
      <c r="M23" s="206" t="s">
        <v>403</v>
      </c>
      <c r="N23" s="132" t="s">
        <v>404</v>
      </c>
      <c r="O23" s="130">
        <v>2</v>
      </c>
      <c r="P23" s="73">
        <f t="shared" si="0"/>
        <v>2</v>
      </c>
      <c r="Q23" s="73">
        <f t="shared" si="1"/>
        <v>2</v>
      </c>
      <c r="R23" s="73">
        <f>Q23*0.088</f>
        <v>0.17599999999999999</v>
      </c>
      <c r="S23" s="73" t="s">
        <v>221</v>
      </c>
      <c r="T23" s="131"/>
    </row>
    <row r="24" spans="1:20" x14ac:dyDescent="0.2">
      <c r="J24" s="5"/>
      <c r="K24" s="5"/>
    </row>
    <row r="33" spans="1:20" ht="5.25" customHeight="1" x14ac:dyDescent="0.2"/>
    <row r="38" spans="1:20" ht="19.5" x14ac:dyDescent="0.2">
      <c r="A38" s="49" t="s">
        <v>0</v>
      </c>
      <c r="B38" s="50"/>
      <c r="C38" s="50"/>
      <c r="D38" s="11"/>
      <c r="E38" s="12"/>
      <c r="F38" s="12" t="s">
        <v>14</v>
      </c>
      <c r="G38" s="13"/>
      <c r="H38" s="12"/>
      <c r="I38" s="12" t="s">
        <v>13</v>
      </c>
      <c r="J38" s="12"/>
      <c r="K38" s="13"/>
      <c r="L38" s="11"/>
      <c r="M38" s="12"/>
      <c r="N38" s="45" t="s">
        <v>1</v>
      </c>
      <c r="O38" s="12"/>
      <c r="P38" s="12"/>
      <c r="Q38" s="12"/>
      <c r="R38" s="21"/>
      <c r="S38" s="21"/>
      <c r="T38" s="17" t="s">
        <v>15</v>
      </c>
    </row>
    <row r="39" spans="1:20" ht="50.25" customHeight="1" x14ac:dyDescent="0.2">
      <c r="A39" s="29" t="s">
        <v>2</v>
      </c>
      <c r="B39" s="29" t="s">
        <v>280</v>
      </c>
      <c r="C39" s="30" t="s">
        <v>3</v>
      </c>
      <c r="D39" s="30" t="s">
        <v>4</v>
      </c>
      <c r="E39" s="31" t="s">
        <v>5</v>
      </c>
      <c r="F39" s="30" t="s">
        <v>6</v>
      </c>
      <c r="G39" s="30" t="s">
        <v>3</v>
      </c>
      <c r="H39" s="30" t="s">
        <v>10</v>
      </c>
      <c r="I39" s="30" t="s">
        <v>5</v>
      </c>
      <c r="J39" s="29" t="s">
        <v>12</v>
      </c>
      <c r="K39" s="30" t="s">
        <v>11</v>
      </c>
      <c r="L39" s="32" t="s">
        <v>7</v>
      </c>
      <c r="M39" s="31" t="s">
        <v>5</v>
      </c>
      <c r="N39" s="31" t="s">
        <v>9</v>
      </c>
      <c r="O39" s="30" t="s">
        <v>8</v>
      </c>
      <c r="P39" s="30" t="s">
        <v>6</v>
      </c>
      <c r="Q39" s="133" t="s">
        <v>3</v>
      </c>
      <c r="R39" s="133" t="s">
        <v>17</v>
      </c>
      <c r="S39" s="133" t="s">
        <v>18</v>
      </c>
      <c r="T39" s="30" t="s">
        <v>16</v>
      </c>
    </row>
    <row r="40" spans="1:20" ht="14.25" customHeight="1" x14ac:dyDescent="0.2">
      <c r="A40" s="209" t="s">
        <v>281</v>
      </c>
      <c r="B40" s="210">
        <v>20</v>
      </c>
      <c r="C40" s="187" t="s">
        <v>19</v>
      </c>
      <c r="D40" s="187" t="s">
        <v>292</v>
      </c>
      <c r="E40" s="134" t="s">
        <v>379</v>
      </c>
      <c r="F40" s="187" t="s">
        <v>19</v>
      </c>
      <c r="G40" s="188">
        <f>F40*C40</f>
        <v>1</v>
      </c>
      <c r="H40" s="193" t="s">
        <v>283</v>
      </c>
      <c r="I40" s="114" t="s">
        <v>379</v>
      </c>
      <c r="J40" s="193">
        <v>1</v>
      </c>
      <c r="K40" s="193">
        <v>2</v>
      </c>
      <c r="L40" s="73" t="s">
        <v>66</v>
      </c>
      <c r="M40" s="207" t="s">
        <v>405</v>
      </c>
      <c r="N40" s="73" t="s">
        <v>406</v>
      </c>
      <c r="O40" s="73">
        <v>2</v>
      </c>
      <c r="P40" s="73">
        <f>O40*$F$40</f>
        <v>2</v>
      </c>
      <c r="Q40" s="73">
        <f>P40*C$40</f>
        <v>2</v>
      </c>
      <c r="R40" s="73">
        <f>Q40</f>
        <v>2</v>
      </c>
      <c r="S40" s="73" t="s">
        <v>222</v>
      </c>
      <c r="T40" s="74"/>
    </row>
    <row r="41" spans="1:20" ht="14.25" customHeight="1" x14ac:dyDescent="0.2">
      <c r="A41" s="211"/>
      <c r="B41" s="212"/>
      <c r="C41" s="191"/>
      <c r="D41" s="191"/>
      <c r="E41" s="106"/>
      <c r="F41" s="191"/>
      <c r="G41" s="192"/>
      <c r="H41" s="193"/>
      <c r="I41" s="114"/>
      <c r="J41" s="193"/>
      <c r="K41" s="193"/>
      <c r="L41" s="73" t="s">
        <v>67</v>
      </c>
      <c r="M41" s="207" t="s">
        <v>407</v>
      </c>
      <c r="N41" s="73" t="s">
        <v>408</v>
      </c>
      <c r="O41" s="73">
        <v>2</v>
      </c>
      <c r="P41" s="73">
        <f t="shared" ref="P41:P52" si="2">O41*$F$40</f>
        <v>2</v>
      </c>
      <c r="Q41" s="73">
        <f t="shared" ref="Q41:Q52" si="3">P41*C$40</f>
        <v>2</v>
      </c>
      <c r="R41" s="73">
        <f t="shared" ref="R41:R52" si="4">Q41</f>
        <v>2</v>
      </c>
      <c r="S41" s="73" t="s">
        <v>222</v>
      </c>
      <c r="T41" s="74"/>
    </row>
    <row r="42" spans="1:20" ht="14.25" customHeight="1" x14ac:dyDescent="0.2">
      <c r="A42" s="211"/>
      <c r="B42" s="212"/>
      <c r="C42" s="191"/>
      <c r="D42" s="191"/>
      <c r="E42" s="106"/>
      <c r="F42" s="191"/>
      <c r="G42" s="192"/>
      <c r="H42" s="193"/>
      <c r="I42" s="114"/>
      <c r="J42" s="193"/>
      <c r="K42" s="193"/>
      <c r="L42" s="73" t="s">
        <v>68</v>
      </c>
      <c r="M42" s="207" t="s">
        <v>409</v>
      </c>
      <c r="N42" s="73" t="s">
        <v>410</v>
      </c>
      <c r="O42" s="73">
        <v>4</v>
      </c>
      <c r="P42" s="73">
        <f t="shared" si="2"/>
        <v>4</v>
      </c>
      <c r="Q42" s="73">
        <f t="shared" si="3"/>
        <v>4</v>
      </c>
      <c r="R42" s="73">
        <f t="shared" si="4"/>
        <v>4</v>
      </c>
      <c r="S42" s="73" t="s">
        <v>222</v>
      </c>
      <c r="T42" s="74"/>
    </row>
    <row r="43" spans="1:20" ht="14.25" customHeight="1" x14ac:dyDescent="0.2">
      <c r="A43" s="211"/>
      <c r="B43" s="212"/>
      <c r="C43" s="191"/>
      <c r="D43" s="191"/>
      <c r="E43" s="106"/>
      <c r="F43" s="191"/>
      <c r="G43" s="192"/>
      <c r="H43" s="184"/>
      <c r="I43" s="68"/>
      <c r="J43" s="184"/>
      <c r="K43" s="184"/>
      <c r="L43" s="73" t="s">
        <v>69</v>
      </c>
      <c r="M43" s="207" t="s">
        <v>411</v>
      </c>
      <c r="N43" s="73" t="s">
        <v>410</v>
      </c>
      <c r="O43" s="73">
        <v>2</v>
      </c>
      <c r="P43" s="73">
        <f t="shared" si="2"/>
        <v>2</v>
      </c>
      <c r="Q43" s="73">
        <f t="shared" si="3"/>
        <v>2</v>
      </c>
      <c r="R43" s="73">
        <f t="shared" si="4"/>
        <v>2</v>
      </c>
      <c r="S43" s="73" t="s">
        <v>222</v>
      </c>
      <c r="T43" s="74"/>
    </row>
    <row r="44" spans="1:20" ht="14.25" customHeight="1" x14ac:dyDescent="0.2">
      <c r="A44" s="211"/>
      <c r="B44" s="212"/>
      <c r="C44" s="191"/>
      <c r="D44" s="191"/>
      <c r="E44" s="106"/>
      <c r="F44" s="191"/>
      <c r="G44" s="192"/>
      <c r="H44" s="184"/>
      <c r="I44" s="68"/>
      <c r="J44" s="184"/>
      <c r="K44" s="184"/>
      <c r="L44" s="73" t="s">
        <v>72</v>
      </c>
      <c r="M44" s="151" t="s">
        <v>412</v>
      </c>
      <c r="N44" s="73" t="s">
        <v>413</v>
      </c>
      <c r="O44" s="73">
        <v>1</v>
      </c>
      <c r="P44" s="73">
        <f t="shared" si="2"/>
        <v>1</v>
      </c>
      <c r="Q44" s="73">
        <f t="shared" si="3"/>
        <v>1</v>
      </c>
      <c r="R44" s="73">
        <f t="shared" si="4"/>
        <v>1</v>
      </c>
      <c r="S44" s="73" t="s">
        <v>222</v>
      </c>
      <c r="T44" s="74"/>
    </row>
    <row r="45" spans="1:20" ht="14.25" customHeight="1" thickBot="1" x14ac:dyDescent="0.25">
      <c r="A45" s="211"/>
      <c r="B45" s="212"/>
      <c r="C45" s="191"/>
      <c r="D45" s="191"/>
      <c r="E45" s="106"/>
      <c r="F45" s="191"/>
      <c r="G45" s="192"/>
      <c r="H45" s="208"/>
      <c r="I45" s="137"/>
      <c r="J45" s="208"/>
      <c r="K45" s="208"/>
      <c r="L45" s="73" t="s">
        <v>73</v>
      </c>
      <c r="M45" s="151" t="s">
        <v>414</v>
      </c>
      <c r="N45" s="73" t="s">
        <v>415</v>
      </c>
      <c r="O45" s="73">
        <v>1</v>
      </c>
      <c r="P45" s="73">
        <f t="shared" si="2"/>
        <v>1</v>
      </c>
      <c r="Q45" s="73">
        <f t="shared" si="3"/>
        <v>1</v>
      </c>
      <c r="R45" s="73">
        <f t="shared" si="4"/>
        <v>1</v>
      </c>
      <c r="S45" s="73" t="s">
        <v>222</v>
      </c>
      <c r="T45" s="74"/>
    </row>
    <row r="46" spans="1:20" ht="14.25" customHeight="1" thickBot="1" x14ac:dyDescent="0.25">
      <c r="A46" s="211"/>
      <c r="B46" s="212"/>
      <c r="C46" s="191"/>
      <c r="D46" s="191"/>
      <c r="E46" s="106"/>
      <c r="F46" s="191"/>
      <c r="G46" s="192"/>
      <c r="H46" s="138" t="s">
        <v>44</v>
      </c>
      <c r="I46" s="138" t="s">
        <v>367</v>
      </c>
      <c r="J46" s="138" t="s">
        <v>44</v>
      </c>
      <c r="K46" s="138" t="s">
        <v>44</v>
      </c>
      <c r="L46" s="73" t="s">
        <v>19</v>
      </c>
      <c r="M46" s="207" t="s">
        <v>367</v>
      </c>
      <c r="N46" s="73" t="s">
        <v>368</v>
      </c>
      <c r="O46" s="73">
        <v>1</v>
      </c>
      <c r="P46" s="73">
        <f t="shared" si="2"/>
        <v>1</v>
      </c>
      <c r="Q46" s="73">
        <f t="shared" si="3"/>
        <v>1</v>
      </c>
      <c r="R46" s="73">
        <f t="shared" si="4"/>
        <v>1</v>
      </c>
      <c r="S46" s="73" t="s">
        <v>222</v>
      </c>
      <c r="T46" s="74"/>
    </row>
    <row r="47" spans="1:20" ht="14.25" customHeight="1" x14ac:dyDescent="0.2">
      <c r="A47" s="211"/>
      <c r="B47" s="212"/>
      <c r="C47" s="191"/>
      <c r="D47" s="191"/>
      <c r="E47" s="106"/>
      <c r="F47" s="191"/>
      <c r="G47" s="192"/>
      <c r="H47" s="180" t="s">
        <v>292</v>
      </c>
      <c r="I47" s="139" t="s">
        <v>330</v>
      </c>
      <c r="J47" s="180">
        <v>1</v>
      </c>
      <c r="K47" s="180">
        <v>2</v>
      </c>
      <c r="L47" s="73" t="s">
        <v>19</v>
      </c>
      <c r="M47" s="151" t="s">
        <v>376</v>
      </c>
      <c r="N47" s="73" t="s">
        <v>377</v>
      </c>
      <c r="O47" s="73">
        <v>6</v>
      </c>
      <c r="P47" s="73">
        <f t="shared" si="2"/>
        <v>6</v>
      </c>
      <c r="Q47" s="73">
        <f t="shared" si="3"/>
        <v>6</v>
      </c>
      <c r="R47" s="73">
        <f t="shared" si="4"/>
        <v>6</v>
      </c>
      <c r="S47" s="73" t="s">
        <v>222</v>
      </c>
      <c r="T47" s="74"/>
    </row>
    <row r="48" spans="1:20" ht="14.25" customHeight="1" x14ac:dyDescent="0.2">
      <c r="A48" s="211"/>
      <c r="B48" s="212"/>
      <c r="C48" s="191"/>
      <c r="D48" s="191"/>
      <c r="E48" s="106"/>
      <c r="F48" s="191"/>
      <c r="G48" s="192"/>
      <c r="H48" s="176"/>
      <c r="I48" s="140"/>
      <c r="J48" s="176"/>
      <c r="K48" s="176"/>
      <c r="L48" s="73" t="s">
        <v>21</v>
      </c>
      <c r="M48" s="151" t="s">
        <v>79</v>
      </c>
      <c r="N48" s="73" t="s">
        <v>378</v>
      </c>
      <c r="O48" s="73">
        <v>6</v>
      </c>
      <c r="P48" s="73">
        <f t="shared" si="2"/>
        <v>6</v>
      </c>
      <c r="Q48" s="73">
        <f t="shared" si="3"/>
        <v>6</v>
      </c>
      <c r="R48" s="73">
        <f t="shared" si="4"/>
        <v>6</v>
      </c>
      <c r="S48" s="73" t="s">
        <v>222</v>
      </c>
      <c r="T48" s="96"/>
    </row>
    <row r="49" spans="1:20" ht="14.25" customHeight="1" x14ac:dyDescent="0.2">
      <c r="A49" s="211"/>
      <c r="B49" s="212"/>
      <c r="C49" s="191"/>
      <c r="D49" s="191"/>
      <c r="E49" s="106"/>
      <c r="F49" s="191"/>
      <c r="G49" s="192"/>
      <c r="H49" s="176"/>
      <c r="I49" s="140"/>
      <c r="J49" s="176"/>
      <c r="K49" s="176"/>
      <c r="L49" s="73" t="s">
        <v>23</v>
      </c>
      <c r="M49" s="207" t="s">
        <v>416</v>
      </c>
      <c r="N49" s="73" t="s">
        <v>370</v>
      </c>
      <c r="O49" s="73">
        <v>2</v>
      </c>
      <c r="P49" s="73">
        <f t="shared" si="2"/>
        <v>2</v>
      </c>
      <c r="Q49" s="73">
        <f t="shared" si="3"/>
        <v>2</v>
      </c>
      <c r="R49" s="73">
        <f t="shared" si="4"/>
        <v>2</v>
      </c>
      <c r="S49" s="73" t="s">
        <v>222</v>
      </c>
      <c r="T49" s="74"/>
    </row>
    <row r="50" spans="1:20" ht="14.25" customHeight="1" x14ac:dyDescent="0.2">
      <c r="A50" s="211"/>
      <c r="B50" s="212"/>
      <c r="C50" s="191"/>
      <c r="D50" s="191"/>
      <c r="E50" s="106"/>
      <c r="F50" s="191"/>
      <c r="G50" s="192"/>
      <c r="H50" s="176"/>
      <c r="I50" s="140"/>
      <c r="J50" s="176"/>
      <c r="K50" s="176"/>
      <c r="L50" s="73" t="s">
        <v>26</v>
      </c>
      <c r="M50" s="207" t="s">
        <v>417</v>
      </c>
      <c r="N50" s="73" t="s">
        <v>372</v>
      </c>
      <c r="O50" s="73">
        <v>2</v>
      </c>
      <c r="P50" s="73">
        <f t="shared" si="2"/>
        <v>2</v>
      </c>
      <c r="Q50" s="73">
        <f t="shared" si="3"/>
        <v>2</v>
      </c>
      <c r="R50" s="73">
        <f t="shared" si="4"/>
        <v>2</v>
      </c>
      <c r="S50" s="73" t="s">
        <v>222</v>
      </c>
      <c r="T50" s="74"/>
    </row>
    <row r="51" spans="1:20" ht="14.25" customHeight="1" x14ac:dyDescent="0.2">
      <c r="A51" s="211"/>
      <c r="B51" s="212"/>
      <c r="C51" s="191"/>
      <c r="D51" s="191"/>
      <c r="E51" s="106"/>
      <c r="F51" s="191"/>
      <c r="G51" s="192"/>
      <c r="H51" s="176"/>
      <c r="I51" s="140"/>
      <c r="J51" s="176"/>
      <c r="K51" s="176"/>
      <c r="L51" s="73" t="s">
        <v>29</v>
      </c>
      <c r="M51" s="207" t="s">
        <v>418</v>
      </c>
      <c r="N51" s="73" t="s">
        <v>374</v>
      </c>
      <c r="O51" s="73">
        <v>2</v>
      </c>
      <c r="P51" s="73">
        <f t="shared" si="2"/>
        <v>2</v>
      </c>
      <c r="Q51" s="73">
        <f t="shared" si="3"/>
        <v>2</v>
      </c>
      <c r="R51" s="73">
        <f t="shared" si="4"/>
        <v>2</v>
      </c>
      <c r="S51" s="73" t="s">
        <v>222</v>
      </c>
      <c r="T51" s="74"/>
    </row>
    <row r="52" spans="1:20" ht="14.25" customHeight="1" x14ac:dyDescent="0.2">
      <c r="A52" s="213"/>
      <c r="B52" s="214"/>
      <c r="C52" s="189"/>
      <c r="D52" s="189"/>
      <c r="E52" s="109"/>
      <c r="F52" s="189"/>
      <c r="G52" s="190"/>
      <c r="H52" s="182"/>
      <c r="I52" s="142"/>
      <c r="J52" s="182"/>
      <c r="K52" s="182"/>
      <c r="L52" s="73" t="s">
        <v>32</v>
      </c>
      <c r="M52" s="207" t="s">
        <v>419</v>
      </c>
      <c r="N52" s="73" t="s">
        <v>374</v>
      </c>
      <c r="O52" s="73">
        <v>2</v>
      </c>
      <c r="P52" s="73">
        <f t="shared" si="2"/>
        <v>2</v>
      </c>
      <c r="Q52" s="73">
        <f t="shared" si="3"/>
        <v>2</v>
      </c>
      <c r="R52" s="73">
        <f t="shared" si="4"/>
        <v>2</v>
      </c>
      <c r="S52" s="73" t="s">
        <v>222</v>
      </c>
      <c r="T52" s="74"/>
    </row>
  </sheetData>
  <mergeCells count="28">
    <mergeCell ref="F40:F52"/>
    <mergeCell ref="G40:G52"/>
    <mergeCell ref="H40:H45"/>
    <mergeCell ref="I40:I45"/>
    <mergeCell ref="J40:J45"/>
    <mergeCell ref="K40:K45"/>
    <mergeCell ref="H47:H52"/>
    <mergeCell ref="I47:I52"/>
    <mergeCell ref="J47:J52"/>
    <mergeCell ref="K47:K52"/>
    <mergeCell ref="A38:C38"/>
    <mergeCell ref="A40:A52"/>
    <mergeCell ref="B40:B52"/>
    <mergeCell ref="C40:C52"/>
    <mergeCell ref="D40:D52"/>
    <mergeCell ref="E40:E52"/>
    <mergeCell ref="F8:F23"/>
    <mergeCell ref="G8:G23"/>
    <mergeCell ref="H8:H23"/>
    <mergeCell ref="I8:I23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12" zoomScale="115" zoomScaleNormal="100" zoomScalePageLayoutView="115" workbookViewId="0">
      <selection activeCell="B31" sqref="B31"/>
    </sheetView>
  </sheetViews>
  <sheetFormatPr defaultRowHeight="14.25" x14ac:dyDescent="0.2"/>
  <cols>
    <col min="1" max="1" width="5" customWidth="1"/>
    <col min="2" max="2" width="5.25" customWidth="1"/>
    <col min="3" max="3" width="5.125" customWidth="1"/>
    <col min="4" max="4" width="6.125" customWidth="1"/>
    <col min="5" max="5" width="4.375" customWidth="1"/>
    <col min="6" max="6" width="5.375" customWidth="1"/>
    <col min="7" max="7" width="5.125" customWidth="1"/>
    <col min="8" max="8" width="5.375" customWidth="1"/>
    <col min="9" max="9" width="11.125" customWidth="1"/>
    <col min="10" max="10" width="5.375" customWidth="1"/>
    <col min="11" max="11" width="5.625" customWidth="1"/>
    <col min="12" max="12" width="5" customWidth="1"/>
    <col min="13" max="13" width="11.375" customWidth="1"/>
    <col min="14" max="14" width="10.3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9" customHeight="1" x14ac:dyDescent="0.2"/>
    <row r="6" spans="1:20" ht="19.5" x14ac:dyDescent="0.2">
      <c r="A6" s="49" t="s">
        <v>0</v>
      </c>
      <c r="B6" s="50"/>
      <c r="C6" s="5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45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280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0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0" t="s">
        <v>16</v>
      </c>
    </row>
    <row r="8" spans="1:20" ht="14.25" customHeight="1" x14ac:dyDescent="0.2">
      <c r="A8" s="195" t="s">
        <v>281</v>
      </c>
      <c r="B8" s="196">
        <v>20</v>
      </c>
      <c r="C8" s="197">
        <v>1</v>
      </c>
      <c r="D8" s="195" t="s">
        <v>281</v>
      </c>
      <c r="E8" s="143" t="s">
        <v>172</v>
      </c>
      <c r="F8" s="193" t="s">
        <v>19</v>
      </c>
      <c r="G8" s="194">
        <f>F8*C8</f>
        <v>1</v>
      </c>
      <c r="H8" s="144" t="s">
        <v>44</v>
      </c>
      <c r="I8" s="145" t="s">
        <v>420</v>
      </c>
      <c r="J8" s="144" t="s">
        <v>44</v>
      </c>
      <c r="K8" s="144" t="s">
        <v>44</v>
      </c>
      <c r="L8" s="71" t="s">
        <v>19</v>
      </c>
      <c r="M8" s="146" t="s">
        <v>420</v>
      </c>
      <c r="N8" s="147" t="s">
        <v>421</v>
      </c>
      <c r="O8" s="71">
        <v>1</v>
      </c>
      <c r="P8" s="71">
        <f>O8*$F$8</f>
        <v>1</v>
      </c>
      <c r="Q8" s="71">
        <f>P8*$C$8</f>
        <v>1</v>
      </c>
      <c r="R8" s="148">
        <f>15.7*$Q$8</f>
        <v>15.7</v>
      </c>
      <c r="S8" s="93" t="s">
        <v>221</v>
      </c>
      <c r="T8" s="100"/>
    </row>
    <row r="9" spans="1:20" ht="14.25" customHeight="1" x14ac:dyDescent="0.2">
      <c r="A9" s="195"/>
      <c r="B9" s="198"/>
      <c r="C9" s="197"/>
      <c r="D9" s="195"/>
      <c r="E9" s="143"/>
      <c r="F9" s="193"/>
      <c r="G9" s="194"/>
      <c r="H9" s="149" t="s">
        <v>44</v>
      </c>
      <c r="I9" s="150" t="s">
        <v>422</v>
      </c>
      <c r="J9" s="144" t="s">
        <v>44</v>
      </c>
      <c r="K9" s="144" t="s">
        <v>44</v>
      </c>
      <c r="L9" s="71" t="s">
        <v>21</v>
      </c>
      <c r="M9" s="151" t="s">
        <v>422</v>
      </c>
      <c r="N9" s="147" t="s">
        <v>421</v>
      </c>
      <c r="O9" s="71">
        <v>1</v>
      </c>
      <c r="P9" s="71">
        <f t="shared" ref="P9:P24" si="0">O9*$F$8</f>
        <v>1</v>
      </c>
      <c r="Q9" s="71">
        <f t="shared" ref="Q9:R24" si="1">P9*$C$8</f>
        <v>1</v>
      </c>
      <c r="R9" s="148">
        <f t="shared" ref="R9:R11" si="2">15.7*$Q$8</f>
        <v>15.7</v>
      </c>
      <c r="S9" s="93" t="s">
        <v>221</v>
      </c>
      <c r="T9" s="100"/>
    </row>
    <row r="10" spans="1:20" ht="14.25" customHeight="1" x14ac:dyDescent="0.2">
      <c r="A10" s="195"/>
      <c r="B10" s="198"/>
      <c r="C10" s="197"/>
      <c r="D10" s="195"/>
      <c r="E10" s="143"/>
      <c r="F10" s="193"/>
      <c r="G10" s="194"/>
      <c r="H10" s="149" t="s">
        <v>44</v>
      </c>
      <c r="I10" s="150" t="s">
        <v>423</v>
      </c>
      <c r="J10" s="144" t="s">
        <v>44</v>
      </c>
      <c r="K10" s="144" t="s">
        <v>44</v>
      </c>
      <c r="L10" s="71" t="s">
        <v>23</v>
      </c>
      <c r="M10" s="151" t="s">
        <v>423</v>
      </c>
      <c r="N10" s="147" t="s">
        <v>421</v>
      </c>
      <c r="O10" s="71">
        <v>1</v>
      </c>
      <c r="P10" s="71">
        <f t="shared" si="0"/>
        <v>1</v>
      </c>
      <c r="Q10" s="71">
        <f t="shared" si="1"/>
        <v>1</v>
      </c>
      <c r="R10" s="148">
        <f t="shared" si="2"/>
        <v>15.7</v>
      </c>
      <c r="S10" s="93" t="s">
        <v>221</v>
      </c>
      <c r="T10" s="100"/>
    </row>
    <row r="11" spans="1:20" ht="14.25" customHeight="1" x14ac:dyDescent="0.2">
      <c r="A11" s="195"/>
      <c r="B11" s="198"/>
      <c r="C11" s="197"/>
      <c r="D11" s="195"/>
      <c r="E11" s="143"/>
      <c r="F11" s="193"/>
      <c r="G11" s="194"/>
      <c r="H11" s="149" t="s">
        <v>44</v>
      </c>
      <c r="I11" s="150" t="s">
        <v>424</v>
      </c>
      <c r="J11" s="144" t="s">
        <v>44</v>
      </c>
      <c r="K11" s="144" t="s">
        <v>44</v>
      </c>
      <c r="L11" s="71" t="s">
        <v>26</v>
      </c>
      <c r="M11" s="151" t="s">
        <v>424</v>
      </c>
      <c r="N11" s="147" t="s">
        <v>421</v>
      </c>
      <c r="O11" s="71">
        <v>1</v>
      </c>
      <c r="P11" s="71">
        <f t="shared" si="0"/>
        <v>1</v>
      </c>
      <c r="Q11" s="71">
        <f t="shared" si="1"/>
        <v>1</v>
      </c>
      <c r="R11" s="148">
        <f t="shared" si="2"/>
        <v>15.7</v>
      </c>
      <c r="S11" s="93" t="s">
        <v>221</v>
      </c>
      <c r="T11" s="100"/>
    </row>
    <row r="12" spans="1:20" ht="14.25" customHeight="1" x14ac:dyDescent="0.2">
      <c r="A12" s="195"/>
      <c r="B12" s="198"/>
      <c r="C12" s="197"/>
      <c r="D12" s="195"/>
      <c r="E12" s="143"/>
      <c r="F12" s="193"/>
      <c r="G12" s="194"/>
      <c r="H12" s="152" t="s">
        <v>44</v>
      </c>
      <c r="I12" s="150" t="s">
        <v>425</v>
      </c>
      <c r="J12" s="152" t="s">
        <v>44</v>
      </c>
      <c r="K12" s="144" t="s">
        <v>44</v>
      </c>
      <c r="L12" s="71" t="s">
        <v>29</v>
      </c>
      <c r="M12" s="151" t="s">
        <v>425</v>
      </c>
      <c r="N12" s="153" t="s">
        <v>426</v>
      </c>
      <c r="O12" s="71">
        <v>1</v>
      </c>
      <c r="P12" s="71">
        <f t="shared" si="0"/>
        <v>1</v>
      </c>
      <c r="Q12" s="71">
        <f t="shared" si="1"/>
        <v>1</v>
      </c>
      <c r="R12" s="148">
        <f>7.85*$Q$8</f>
        <v>7.85</v>
      </c>
      <c r="S12" s="93" t="s">
        <v>221</v>
      </c>
      <c r="T12" s="100"/>
    </row>
    <row r="13" spans="1:20" ht="14.25" customHeight="1" x14ac:dyDescent="0.2">
      <c r="A13" s="195"/>
      <c r="B13" s="198"/>
      <c r="C13" s="197"/>
      <c r="D13" s="195"/>
      <c r="E13" s="143"/>
      <c r="F13" s="193"/>
      <c r="G13" s="194"/>
      <c r="H13" s="152" t="s">
        <v>44</v>
      </c>
      <c r="I13" s="150" t="s">
        <v>427</v>
      </c>
      <c r="J13" s="152" t="s">
        <v>44</v>
      </c>
      <c r="K13" s="144" t="s">
        <v>44</v>
      </c>
      <c r="L13" s="71" t="s">
        <v>32</v>
      </c>
      <c r="M13" s="151" t="s">
        <v>427</v>
      </c>
      <c r="N13" s="153" t="s">
        <v>426</v>
      </c>
      <c r="O13" s="71">
        <v>1</v>
      </c>
      <c r="P13" s="71">
        <f t="shared" si="0"/>
        <v>1</v>
      </c>
      <c r="Q13" s="71">
        <f t="shared" si="1"/>
        <v>1</v>
      </c>
      <c r="R13" s="148">
        <f t="shared" ref="R13:R15" si="3">7.85*$Q$8</f>
        <v>7.85</v>
      </c>
      <c r="S13" s="93" t="s">
        <v>221</v>
      </c>
      <c r="T13" s="100"/>
    </row>
    <row r="14" spans="1:20" ht="14.25" customHeight="1" x14ac:dyDescent="0.2">
      <c r="A14" s="195"/>
      <c r="B14" s="198"/>
      <c r="C14" s="197"/>
      <c r="D14" s="195"/>
      <c r="E14" s="143"/>
      <c r="F14" s="193"/>
      <c r="G14" s="194"/>
      <c r="H14" s="152" t="s">
        <v>44</v>
      </c>
      <c r="I14" s="150" t="s">
        <v>428</v>
      </c>
      <c r="J14" s="152" t="s">
        <v>44</v>
      </c>
      <c r="K14" s="144" t="s">
        <v>44</v>
      </c>
      <c r="L14" s="71" t="s">
        <v>35</v>
      </c>
      <c r="M14" s="151" t="s">
        <v>428</v>
      </c>
      <c r="N14" s="153" t="s">
        <v>426</v>
      </c>
      <c r="O14" s="71">
        <v>1</v>
      </c>
      <c r="P14" s="71">
        <f t="shared" si="0"/>
        <v>1</v>
      </c>
      <c r="Q14" s="71">
        <f t="shared" si="1"/>
        <v>1</v>
      </c>
      <c r="R14" s="148">
        <f t="shared" si="3"/>
        <v>7.85</v>
      </c>
      <c r="S14" s="93" t="s">
        <v>221</v>
      </c>
      <c r="T14" s="100"/>
    </row>
    <row r="15" spans="1:20" ht="14.25" customHeight="1" x14ac:dyDescent="0.2">
      <c r="A15" s="195"/>
      <c r="B15" s="198"/>
      <c r="C15" s="197"/>
      <c r="D15" s="195"/>
      <c r="E15" s="143"/>
      <c r="F15" s="193"/>
      <c r="G15" s="194"/>
      <c r="H15" s="152" t="s">
        <v>44</v>
      </c>
      <c r="I15" s="150" t="s">
        <v>429</v>
      </c>
      <c r="J15" s="152" t="s">
        <v>44</v>
      </c>
      <c r="K15" s="144" t="s">
        <v>44</v>
      </c>
      <c r="L15" s="71" t="s">
        <v>37</v>
      </c>
      <c r="M15" s="151" t="s">
        <v>429</v>
      </c>
      <c r="N15" s="153" t="s">
        <v>426</v>
      </c>
      <c r="O15" s="71">
        <v>1</v>
      </c>
      <c r="P15" s="71">
        <f t="shared" si="0"/>
        <v>1</v>
      </c>
      <c r="Q15" s="71">
        <f t="shared" si="1"/>
        <v>1</v>
      </c>
      <c r="R15" s="148">
        <f t="shared" si="3"/>
        <v>7.85</v>
      </c>
      <c r="S15" s="93" t="s">
        <v>221</v>
      </c>
      <c r="T15" s="100"/>
    </row>
    <row r="16" spans="1:20" ht="14.25" customHeight="1" x14ac:dyDescent="0.2">
      <c r="A16" s="195"/>
      <c r="B16" s="198"/>
      <c r="C16" s="197"/>
      <c r="D16" s="195"/>
      <c r="E16" s="143"/>
      <c r="F16" s="193"/>
      <c r="G16" s="194"/>
      <c r="H16" s="144" t="s">
        <v>44</v>
      </c>
      <c r="I16" s="135" t="s">
        <v>430</v>
      </c>
      <c r="J16" s="144" t="s">
        <v>44</v>
      </c>
      <c r="K16" s="144" t="s">
        <v>44</v>
      </c>
      <c r="L16" s="71" t="s">
        <v>40</v>
      </c>
      <c r="M16" s="151" t="s">
        <v>430</v>
      </c>
      <c r="N16" s="147" t="s">
        <v>431</v>
      </c>
      <c r="O16" s="71" t="str">
        <f>IF(B8=30,"4",IF(B8=25,"0",IF(B8=20,"0",IF(B8=15,"0"))))</f>
        <v>0</v>
      </c>
      <c r="P16" s="71">
        <f t="shared" si="0"/>
        <v>0</v>
      </c>
      <c r="Q16" s="71">
        <f t="shared" si="1"/>
        <v>0</v>
      </c>
      <c r="R16" s="148">
        <f>Q16*4.38</f>
        <v>0</v>
      </c>
      <c r="S16" s="93" t="s">
        <v>221</v>
      </c>
      <c r="T16" s="100"/>
    </row>
    <row r="17" spans="1:28" ht="14.25" customHeight="1" x14ac:dyDescent="0.2">
      <c r="A17" s="195"/>
      <c r="B17" s="198"/>
      <c r="C17" s="197"/>
      <c r="D17" s="195"/>
      <c r="E17" s="143"/>
      <c r="F17" s="193"/>
      <c r="G17" s="194"/>
      <c r="H17" s="187" t="s">
        <v>283</v>
      </c>
      <c r="I17" s="134" t="s">
        <v>432</v>
      </c>
      <c r="J17" s="187" t="s">
        <v>21</v>
      </c>
      <c r="K17" s="188">
        <f>J17*G8</f>
        <v>2</v>
      </c>
      <c r="L17" s="71" t="s">
        <v>19</v>
      </c>
      <c r="M17" s="151" t="s">
        <v>433</v>
      </c>
      <c r="N17" s="147" t="s">
        <v>434</v>
      </c>
      <c r="O17" s="71">
        <v>2</v>
      </c>
      <c r="P17" s="71">
        <f t="shared" si="0"/>
        <v>2</v>
      </c>
      <c r="Q17" s="71">
        <f t="shared" si="1"/>
        <v>2</v>
      </c>
      <c r="R17" s="148">
        <f>Q17*0.1</f>
        <v>0.2</v>
      </c>
      <c r="S17" s="93" t="s">
        <v>221</v>
      </c>
      <c r="T17" s="100"/>
    </row>
    <row r="18" spans="1:28" ht="14.25" customHeight="1" x14ac:dyDescent="0.2">
      <c r="A18" s="195"/>
      <c r="B18" s="198"/>
      <c r="C18" s="197"/>
      <c r="D18" s="195"/>
      <c r="E18" s="143"/>
      <c r="F18" s="193"/>
      <c r="G18" s="194"/>
      <c r="H18" s="189"/>
      <c r="I18" s="109"/>
      <c r="J18" s="189"/>
      <c r="K18" s="190"/>
      <c r="L18" s="71" t="s">
        <v>21</v>
      </c>
      <c r="M18" s="151" t="s">
        <v>435</v>
      </c>
      <c r="N18" s="147" t="s">
        <v>436</v>
      </c>
      <c r="O18" s="71">
        <v>2</v>
      </c>
      <c r="P18" s="71">
        <f t="shared" si="0"/>
        <v>2</v>
      </c>
      <c r="Q18" s="71">
        <f t="shared" si="1"/>
        <v>2</v>
      </c>
      <c r="R18" s="148">
        <f>11.3*Q18</f>
        <v>22.6</v>
      </c>
      <c r="S18" s="93" t="s">
        <v>221</v>
      </c>
      <c r="T18" s="100"/>
    </row>
    <row r="19" spans="1:28" ht="14.25" customHeight="1" x14ac:dyDescent="0.2">
      <c r="A19" s="195"/>
      <c r="B19" s="198"/>
      <c r="C19" s="197"/>
      <c r="D19" s="195"/>
      <c r="E19" s="143"/>
      <c r="F19" s="193"/>
      <c r="G19" s="194"/>
      <c r="H19" s="187" t="s">
        <v>292</v>
      </c>
      <c r="I19" s="134" t="s">
        <v>437</v>
      </c>
      <c r="J19" s="187">
        <v>1</v>
      </c>
      <c r="K19" s="188">
        <f>J19*G8</f>
        <v>1</v>
      </c>
      <c r="L19" s="71" t="s">
        <v>19</v>
      </c>
      <c r="M19" s="151" t="s">
        <v>438</v>
      </c>
      <c r="N19" s="147" t="s">
        <v>342</v>
      </c>
      <c r="O19" s="71">
        <v>32</v>
      </c>
      <c r="P19" s="71">
        <f t="shared" si="0"/>
        <v>32</v>
      </c>
      <c r="Q19" s="71">
        <f t="shared" si="1"/>
        <v>32</v>
      </c>
      <c r="R19" s="71">
        <f t="shared" si="1"/>
        <v>32</v>
      </c>
      <c r="S19" s="93" t="s">
        <v>222</v>
      </c>
      <c r="T19" s="100"/>
    </row>
    <row r="20" spans="1:28" ht="14.25" customHeight="1" x14ac:dyDescent="0.2">
      <c r="A20" s="195"/>
      <c r="B20" s="198"/>
      <c r="C20" s="197"/>
      <c r="D20" s="195"/>
      <c r="E20" s="143"/>
      <c r="F20" s="193"/>
      <c r="G20" s="194"/>
      <c r="H20" s="191"/>
      <c r="I20" s="106"/>
      <c r="J20" s="191"/>
      <c r="K20" s="192"/>
      <c r="L20" s="71" t="s">
        <v>21</v>
      </c>
      <c r="M20" s="151" t="s">
        <v>439</v>
      </c>
      <c r="N20" s="147" t="s">
        <v>340</v>
      </c>
      <c r="O20" s="71">
        <v>32</v>
      </c>
      <c r="P20" s="71">
        <f t="shared" si="0"/>
        <v>32</v>
      </c>
      <c r="Q20" s="71">
        <f t="shared" si="1"/>
        <v>32</v>
      </c>
      <c r="R20" s="71">
        <f t="shared" si="1"/>
        <v>32</v>
      </c>
      <c r="S20" s="93" t="s">
        <v>222</v>
      </c>
      <c r="T20" s="100"/>
    </row>
    <row r="21" spans="1:28" ht="14.25" customHeight="1" x14ac:dyDescent="0.2">
      <c r="A21" s="195"/>
      <c r="B21" s="198"/>
      <c r="C21" s="197"/>
      <c r="D21" s="195"/>
      <c r="E21" s="143"/>
      <c r="F21" s="193"/>
      <c r="G21" s="194"/>
      <c r="H21" s="191"/>
      <c r="I21" s="106"/>
      <c r="J21" s="191"/>
      <c r="K21" s="192"/>
      <c r="L21" s="71" t="s">
        <v>23</v>
      </c>
      <c r="M21" s="151" t="s">
        <v>440</v>
      </c>
      <c r="N21" s="154" t="s">
        <v>342</v>
      </c>
      <c r="O21" s="88">
        <v>2</v>
      </c>
      <c r="P21" s="71">
        <f t="shared" si="0"/>
        <v>2</v>
      </c>
      <c r="Q21" s="71">
        <f t="shared" si="1"/>
        <v>2</v>
      </c>
      <c r="R21" s="71">
        <f t="shared" si="1"/>
        <v>2</v>
      </c>
      <c r="S21" s="102" t="s">
        <v>222</v>
      </c>
      <c r="T21" s="100"/>
      <c r="U21" s="155"/>
      <c r="V21" s="156"/>
      <c r="W21" s="157"/>
      <c r="X21" s="156"/>
      <c r="Y21" s="156"/>
      <c r="Z21" s="156"/>
      <c r="AA21" s="156"/>
      <c r="AB21" s="156"/>
    </row>
    <row r="22" spans="1:28" ht="14.25" customHeight="1" x14ac:dyDescent="0.2">
      <c r="A22" s="195"/>
      <c r="B22" s="198"/>
      <c r="C22" s="197"/>
      <c r="D22" s="195"/>
      <c r="E22" s="143"/>
      <c r="F22" s="193"/>
      <c r="G22" s="194"/>
      <c r="H22" s="191"/>
      <c r="I22" s="106"/>
      <c r="J22" s="191"/>
      <c r="K22" s="192"/>
      <c r="L22" s="71" t="s">
        <v>26</v>
      </c>
      <c r="M22" s="151" t="s">
        <v>441</v>
      </c>
      <c r="N22" s="147" t="s">
        <v>340</v>
      </c>
      <c r="O22" s="71">
        <v>2</v>
      </c>
      <c r="P22" s="71">
        <f t="shared" si="0"/>
        <v>2</v>
      </c>
      <c r="Q22" s="71">
        <f t="shared" si="1"/>
        <v>2</v>
      </c>
      <c r="R22" s="71">
        <f t="shared" si="1"/>
        <v>2</v>
      </c>
      <c r="S22" s="93" t="s">
        <v>222</v>
      </c>
      <c r="T22" s="100"/>
      <c r="U22" s="155"/>
      <c r="V22" s="157"/>
      <c r="W22" s="157"/>
      <c r="X22" s="156"/>
      <c r="Y22" s="156"/>
      <c r="Z22" s="156"/>
      <c r="AA22" s="156"/>
      <c r="AB22" s="156"/>
    </row>
    <row r="23" spans="1:28" ht="14.25" customHeight="1" x14ac:dyDescent="0.2">
      <c r="A23" s="195"/>
      <c r="B23" s="198"/>
      <c r="C23" s="197"/>
      <c r="D23" s="195"/>
      <c r="E23" s="143"/>
      <c r="F23" s="193"/>
      <c r="G23" s="194"/>
      <c r="H23" s="191"/>
      <c r="I23" s="106"/>
      <c r="J23" s="191"/>
      <c r="K23" s="192"/>
      <c r="L23" s="71" t="s">
        <v>29</v>
      </c>
      <c r="M23" s="151" t="s">
        <v>442</v>
      </c>
      <c r="N23" s="147" t="s">
        <v>353</v>
      </c>
      <c r="O23" s="71">
        <v>40</v>
      </c>
      <c r="P23" s="71">
        <f t="shared" si="0"/>
        <v>40</v>
      </c>
      <c r="Q23" s="71">
        <f t="shared" si="1"/>
        <v>40</v>
      </c>
      <c r="R23" s="71">
        <f t="shared" si="1"/>
        <v>40</v>
      </c>
      <c r="S23" s="93" t="s">
        <v>222</v>
      </c>
      <c r="T23" s="100"/>
    </row>
    <row r="24" spans="1:28" ht="14.25" customHeight="1" x14ac:dyDescent="0.2">
      <c r="A24" s="195"/>
      <c r="B24" s="199"/>
      <c r="C24" s="197"/>
      <c r="D24" s="195"/>
      <c r="E24" s="143"/>
      <c r="F24" s="193"/>
      <c r="G24" s="194"/>
      <c r="H24" s="189"/>
      <c r="I24" s="109"/>
      <c r="J24" s="189"/>
      <c r="K24" s="190"/>
      <c r="L24" s="71" t="s">
        <v>32</v>
      </c>
      <c r="M24" s="151" t="s">
        <v>443</v>
      </c>
      <c r="N24" s="147" t="s">
        <v>444</v>
      </c>
      <c r="O24" s="71">
        <v>40</v>
      </c>
      <c r="P24" s="71">
        <f t="shared" si="0"/>
        <v>40</v>
      </c>
      <c r="Q24" s="71">
        <f t="shared" si="1"/>
        <v>40</v>
      </c>
      <c r="R24" s="71">
        <f t="shared" si="1"/>
        <v>40</v>
      </c>
      <c r="S24" s="93" t="s">
        <v>222</v>
      </c>
      <c r="T24" s="100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A6:C6"/>
    <mergeCell ref="A8:A24"/>
    <mergeCell ref="B8:B24"/>
    <mergeCell ref="C8:C24"/>
    <mergeCell ref="D8:D24"/>
    <mergeCell ref="E8:E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zoomScale="115" zoomScaleNormal="100" zoomScalePageLayoutView="115" workbookViewId="0">
      <selection activeCell="N32" sqref="N32"/>
    </sheetView>
  </sheetViews>
  <sheetFormatPr defaultRowHeight="14.25" x14ac:dyDescent="0.2"/>
  <cols>
    <col min="1" max="1" width="4.75" customWidth="1"/>
    <col min="2" max="2" width="4.875" customWidth="1"/>
    <col min="3" max="3" width="5.125" customWidth="1"/>
    <col min="4" max="4" width="5" customWidth="1"/>
    <col min="5" max="5" width="4.25" customWidth="1"/>
    <col min="6" max="6" width="5.375" customWidth="1"/>
    <col min="7" max="7" width="5.125" customWidth="1"/>
    <col min="8" max="8" width="5.5" customWidth="1"/>
    <col min="9" max="9" width="11.25" customWidth="1"/>
    <col min="10" max="10" width="5.375" customWidth="1"/>
    <col min="11" max="11" width="5.625" customWidth="1"/>
    <col min="12" max="12" width="5" customWidth="1"/>
    <col min="13" max="13" width="15.5" customWidth="1"/>
    <col min="14" max="14" width="9.75" customWidth="1"/>
    <col min="15" max="15" width="5.75" customWidth="1"/>
    <col min="16" max="16" width="5.625" customWidth="1"/>
    <col min="17" max="18" width="5.125" customWidth="1"/>
    <col min="19" max="19" width="4.625" customWidth="1"/>
    <col min="20" max="20" width="5" customWidth="1"/>
    <col min="21" max="21" width="8" customWidth="1"/>
  </cols>
  <sheetData>
    <row r="4" spans="1:20" ht="12" customHeight="1" x14ac:dyDescent="0.2"/>
    <row r="5" spans="1:20" ht="4.5" customHeight="1" x14ac:dyDescent="0.2"/>
    <row r="6" spans="1:20" ht="19.5" x14ac:dyDescent="0.2">
      <c r="A6" s="49" t="s">
        <v>0</v>
      </c>
      <c r="B6" s="50"/>
      <c r="C6" s="50"/>
      <c r="D6" s="11"/>
      <c r="E6" s="12"/>
      <c r="F6" s="12" t="s">
        <v>14</v>
      </c>
      <c r="G6" s="13"/>
      <c r="H6" s="12"/>
      <c r="I6" s="12" t="s">
        <v>13</v>
      </c>
      <c r="J6" s="12"/>
      <c r="K6" s="13"/>
      <c r="L6" s="11"/>
      <c r="M6" s="12"/>
      <c r="N6" s="45" t="s">
        <v>1</v>
      </c>
      <c r="O6" s="12"/>
      <c r="P6" s="12"/>
      <c r="Q6" s="12"/>
      <c r="R6" s="21"/>
      <c r="S6" s="21"/>
      <c r="T6" s="17" t="s">
        <v>15</v>
      </c>
    </row>
    <row r="7" spans="1:20" ht="50.25" customHeight="1" x14ac:dyDescent="0.2">
      <c r="A7" s="20" t="s">
        <v>2</v>
      </c>
      <c r="B7" s="20" t="s">
        <v>280</v>
      </c>
      <c r="C7" s="3" t="s">
        <v>3</v>
      </c>
      <c r="D7" s="14" t="s">
        <v>4</v>
      </c>
      <c r="E7" s="15" t="s">
        <v>5</v>
      </c>
      <c r="F7" s="14" t="s">
        <v>6</v>
      </c>
      <c r="G7" s="14" t="s">
        <v>3</v>
      </c>
      <c r="H7" s="3" t="s">
        <v>10</v>
      </c>
      <c r="I7" s="3" t="s">
        <v>5</v>
      </c>
      <c r="J7" s="20" t="s">
        <v>12</v>
      </c>
      <c r="K7" s="3" t="s">
        <v>11</v>
      </c>
      <c r="L7" s="1" t="s">
        <v>7</v>
      </c>
      <c r="M7" s="31" t="s">
        <v>5</v>
      </c>
      <c r="N7" s="2" t="s">
        <v>9</v>
      </c>
      <c r="O7" s="3" t="s">
        <v>8</v>
      </c>
      <c r="P7" s="3" t="s">
        <v>6</v>
      </c>
      <c r="Q7" s="16" t="s">
        <v>3</v>
      </c>
      <c r="R7" s="16" t="s">
        <v>17</v>
      </c>
      <c r="S7" s="16" t="s">
        <v>18</v>
      </c>
      <c r="T7" s="3" t="s">
        <v>16</v>
      </c>
    </row>
    <row r="8" spans="1:20" ht="13.5" customHeight="1" x14ac:dyDescent="0.2">
      <c r="A8" s="174" t="s">
        <v>281</v>
      </c>
      <c r="B8" s="175">
        <v>20</v>
      </c>
      <c r="C8" s="175">
        <v>1</v>
      </c>
      <c r="D8" s="174" t="s">
        <v>311</v>
      </c>
      <c r="E8" s="113" t="s">
        <v>445</v>
      </c>
      <c r="F8" s="184" t="s">
        <v>19</v>
      </c>
      <c r="G8" s="175">
        <f>F8*C8</f>
        <v>1</v>
      </c>
      <c r="H8" s="174" t="s">
        <v>283</v>
      </c>
      <c r="I8" s="158" t="s">
        <v>446</v>
      </c>
      <c r="J8" s="174">
        <v>1</v>
      </c>
      <c r="K8" s="175">
        <f>J8*G8</f>
        <v>1</v>
      </c>
      <c r="L8" s="125" t="s">
        <v>19</v>
      </c>
      <c r="M8" s="171" t="s">
        <v>446</v>
      </c>
      <c r="N8" s="125" t="s">
        <v>447</v>
      </c>
      <c r="O8" s="125">
        <v>1</v>
      </c>
      <c r="P8" s="125">
        <f>O8*$F$8</f>
        <v>1</v>
      </c>
      <c r="Q8" s="125">
        <f>P8*$C$8</f>
        <v>1</v>
      </c>
      <c r="R8" s="125">
        <f>Q8*0.51</f>
        <v>0.51</v>
      </c>
      <c r="S8" s="125" t="s">
        <v>221</v>
      </c>
      <c r="T8" s="41"/>
    </row>
    <row r="9" spans="1:20" ht="13.5" customHeight="1" x14ac:dyDescent="0.2">
      <c r="A9" s="176"/>
      <c r="B9" s="177"/>
      <c r="C9" s="177"/>
      <c r="D9" s="176"/>
      <c r="E9" s="113"/>
      <c r="F9" s="185"/>
      <c r="G9" s="177"/>
      <c r="H9" s="176"/>
      <c r="I9" s="140"/>
      <c r="J9" s="176"/>
      <c r="K9" s="177"/>
      <c r="L9" s="125" t="s">
        <v>21</v>
      </c>
      <c r="M9" s="171" t="s">
        <v>448</v>
      </c>
      <c r="N9" s="125" t="s">
        <v>449</v>
      </c>
      <c r="O9" s="125">
        <v>2</v>
      </c>
      <c r="P9" s="125">
        <f t="shared" ref="P9:P25" si="0">O9*$F$8</f>
        <v>2</v>
      </c>
      <c r="Q9" s="125">
        <f t="shared" ref="Q9:R25" si="1">P9*$C$8</f>
        <v>2</v>
      </c>
      <c r="R9" s="125">
        <f t="shared" si="1"/>
        <v>2</v>
      </c>
      <c r="S9" s="125" t="s">
        <v>222</v>
      </c>
      <c r="T9" s="41"/>
    </row>
    <row r="10" spans="1:20" ht="13.5" customHeight="1" x14ac:dyDescent="0.2">
      <c r="A10" s="176"/>
      <c r="B10" s="177"/>
      <c r="C10" s="177"/>
      <c r="D10" s="176"/>
      <c r="E10" s="113"/>
      <c r="F10" s="185"/>
      <c r="G10" s="177"/>
      <c r="H10" s="176"/>
      <c r="I10" s="140"/>
      <c r="J10" s="176"/>
      <c r="K10" s="177"/>
      <c r="L10" s="125" t="s">
        <v>23</v>
      </c>
      <c r="M10" s="171" t="s">
        <v>450</v>
      </c>
      <c r="N10" s="125" t="s">
        <v>451</v>
      </c>
      <c r="O10" s="125">
        <v>1</v>
      </c>
      <c r="P10" s="125">
        <f t="shared" si="0"/>
        <v>1</v>
      </c>
      <c r="Q10" s="125">
        <f t="shared" si="1"/>
        <v>1</v>
      </c>
      <c r="R10" s="125">
        <f t="shared" si="1"/>
        <v>1</v>
      </c>
      <c r="S10" s="125" t="s">
        <v>222</v>
      </c>
      <c r="T10" s="41"/>
    </row>
    <row r="11" spans="1:20" ht="13.5" customHeight="1" x14ac:dyDescent="0.2">
      <c r="A11" s="176"/>
      <c r="B11" s="177"/>
      <c r="C11" s="177"/>
      <c r="D11" s="176"/>
      <c r="E11" s="113"/>
      <c r="F11" s="185"/>
      <c r="G11" s="177"/>
      <c r="H11" s="176"/>
      <c r="I11" s="140"/>
      <c r="J11" s="176"/>
      <c r="K11" s="177"/>
      <c r="L11" s="125" t="s">
        <v>26</v>
      </c>
      <c r="M11" s="171" t="s">
        <v>452</v>
      </c>
      <c r="N11" s="125" t="s">
        <v>349</v>
      </c>
      <c r="O11" s="125">
        <v>1</v>
      </c>
      <c r="P11" s="125">
        <f t="shared" si="0"/>
        <v>1</v>
      </c>
      <c r="Q11" s="125">
        <f t="shared" si="1"/>
        <v>1</v>
      </c>
      <c r="R11" s="125">
        <f t="shared" si="1"/>
        <v>1</v>
      </c>
      <c r="S11" s="125" t="s">
        <v>222</v>
      </c>
      <c r="T11" s="41"/>
    </row>
    <row r="12" spans="1:20" ht="13.5" customHeight="1" thickBot="1" x14ac:dyDescent="0.25">
      <c r="A12" s="176"/>
      <c r="B12" s="177"/>
      <c r="C12" s="177"/>
      <c r="D12" s="176"/>
      <c r="E12" s="113"/>
      <c r="F12" s="185"/>
      <c r="G12" s="177"/>
      <c r="H12" s="178"/>
      <c r="I12" s="160"/>
      <c r="J12" s="178"/>
      <c r="K12" s="179"/>
      <c r="L12" s="125" t="s">
        <v>29</v>
      </c>
      <c r="M12" s="171" t="s">
        <v>453</v>
      </c>
      <c r="N12" s="125" t="s">
        <v>454</v>
      </c>
      <c r="O12" s="125">
        <v>2</v>
      </c>
      <c r="P12" s="125">
        <f t="shared" si="0"/>
        <v>2</v>
      </c>
      <c r="Q12" s="125">
        <f t="shared" si="1"/>
        <v>2</v>
      </c>
      <c r="R12" s="125">
        <f t="shared" si="1"/>
        <v>2</v>
      </c>
      <c r="S12" s="125" t="s">
        <v>222</v>
      </c>
      <c r="T12" s="41"/>
    </row>
    <row r="13" spans="1:20" ht="13.5" customHeight="1" x14ac:dyDescent="0.2">
      <c r="A13" s="176"/>
      <c r="B13" s="177"/>
      <c r="C13" s="177"/>
      <c r="D13" s="176"/>
      <c r="E13" s="113"/>
      <c r="F13" s="185"/>
      <c r="G13" s="177"/>
      <c r="H13" s="162" t="s">
        <v>44</v>
      </c>
      <c r="I13" s="163" t="s">
        <v>455</v>
      </c>
      <c r="J13" s="162" t="s">
        <v>44</v>
      </c>
      <c r="K13" s="164" t="s">
        <v>44</v>
      </c>
      <c r="L13" s="125" t="s">
        <v>19</v>
      </c>
      <c r="M13" s="171" t="s">
        <v>455</v>
      </c>
      <c r="N13" s="8" t="s">
        <v>456</v>
      </c>
      <c r="O13" s="125">
        <v>1</v>
      </c>
      <c r="P13" s="125">
        <f t="shared" si="0"/>
        <v>1</v>
      </c>
      <c r="Q13" s="125">
        <f t="shared" si="1"/>
        <v>1</v>
      </c>
      <c r="R13" s="125">
        <f>1.5*Q13</f>
        <v>1.5</v>
      </c>
      <c r="S13" s="125" t="s">
        <v>221</v>
      </c>
      <c r="T13" s="41"/>
    </row>
    <row r="14" spans="1:20" ht="13.5" customHeight="1" x14ac:dyDescent="0.2">
      <c r="A14" s="176"/>
      <c r="B14" s="177"/>
      <c r="C14" s="177"/>
      <c r="D14" s="176"/>
      <c r="E14" s="113"/>
      <c r="F14" s="185"/>
      <c r="G14" s="177"/>
      <c r="H14" s="149" t="s">
        <v>44</v>
      </c>
      <c r="I14" s="8" t="s">
        <v>457</v>
      </c>
      <c r="J14" s="149" t="s">
        <v>44</v>
      </c>
      <c r="K14" s="165" t="s">
        <v>44</v>
      </c>
      <c r="L14" s="125" t="s">
        <v>21</v>
      </c>
      <c r="M14" s="171" t="s">
        <v>457</v>
      </c>
      <c r="N14" s="125" t="s">
        <v>458</v>
      </c>
      <c r="O14" s="125">
        <v>1</v>
      </c>
      <c r="P14" s="125">
        <f t="shared" si="0"/>
        <v>1</v>
      </c>
      <c r="Q14" s="125">
        <f t="shared" si="1"/>
        <v>1</v>
      </c>
      <c r="R14" s="125">
        <f>1.2*Q14</f>
        <v>1.2</v>
      </c>
      <c r="S14" s="125" t="s">
        <v>221</v>
      </c>
      <c r="T14" s="41"/>
    </row>
    <row r="15" spans="1:20" ht="13.5" customHeight="1" x14ac:dyDescent="0.2">
      <c r="A15" s="176"/>
      <c r="B15" s="177"/>
      <c r="C15" s="177"/>
      <c r="D15" s="176"/>
      <c r="E15" s="113"/>
      <c r="F15" s="185"/>
      <c r="G15" s="177"/>
      <c r="H15" s="149" t="s">
        <v>44</v>
      </c>
      <c r="I15" s="159" t="s">
        <v>459</v>
      </c>
      <c r="J15" s="149" t="s">
        <v>44</v>
      </c>
      <c r="K15" s="165" t="s">
        <v>44</v>
      </c>
      <c r="L15" s="125" t="s">
        <v>23</v>
      </c>
      <c r="M15" s="172" t="s">
        <v>459</v>
      </c>
      <c r="N15" s="166" t="s">
        <v>460</v>
      </c>
      <c r="O15" s="125">
        <v>1</v>
      </c>
      <c r="P15" s="125">
        <f t="shared" si="0"/>
        <v>1</v>
      </c>
      <c r="Q15" s="125">
        <f t="shared" si="1"/>
        <v>1</v>
      </c>
      <c r="R15" s="125">
        <f t="shared" si="1"/>
        <v>1</v>
      </c>
      <c r="S15" s="125" t="s">
        <v>222</v>
      </c>
      <c r="T15" s="41"/>
    </row>
    <row r="16" spans="1:20" ht="13.5" customHeight="1" thickBot="1" x14ac:dyDescent="0.25">
      <c r="A16" s="176"/>
      <c r="B16" s="177"/>
      <c r="C16" s="177"/>
      <c r="D16" s="176"/>
      <c r="E16" s="113"/>
      <c r="F16" s="185"/>
      <c r="G16" s="177"/>
      <c r="H16" s="167" t="s">
        <v>44</v>
      </c>
      <c r="I16" s="161" t="s">
        <v>461</v>
      </c>
      <c r="J16" s="167" t="s">
        <v>44</v>
      </c>
      <c r="K16" s="168" t="s">
        <v>44</v>
      </c>
      <c r="L16" s="125" t="s">
        <v>26</v>
      </c>
      <c r="M16" s="172" t="s">
        <v>461</v>
      </c>
      <c r="N16" s="141" t="s">
        <v>44</v>
      </c>
      <c r="O16" s="125">
        <v>1</v>
      </c>
      <c r="P16" s="125">
        <f t="shared" si="0"/>
        <v>1</v>
      </c>
      <c r="Q16" s="125">
        <f t="shared" si="1"/>
        <v>1</v>
      </c>
      <c r="R16" s="125">
        <f t="shared" si="1"/>
        <v>1</v>
      </c>
      <c r="S16" s="125" t="s">
        <v>222</v>
      </c>
      <c r="T16" s="41"/>
    </row>
    <row r="17" spans="1:20" ht="13.5" customHeight="1" x14ac:dyDescent="0.2">
      <c r="A17" s="176"/>
      <c r="B17" s="177"/>
      <c r="C17" s="177"/>
      <c r="D17" s="176"/>
      <c r="E17" s="113"/>
      <c r="F17" s="185"/>
      <c r="G17" s="177"/>
      <c r="H17" s="180" t="s">
        <v>292</v>
      </c>
      <c r="I17" s="139" t="s">
        <v>330</v>
      </c>
      <c r="J17" s="180" t="s">
        <v>19</v>
      </c>
      <c r="K17" s="181">
        <f>J17*G8</f>
        <v>1</v>
      </c>
      <c r="L17" s="125" t="s">
        <v>19</v>
      </c>
      <c r="M17" s="173" t="s">
        <v>462</v>
      </c>
      <c r="N17" s="135" t="s">
        <v>463</v>
      </c>
      <c r="O17" s="125">
        <v>1</v>
      </c>
      <c r="P17" s="125">
        <f t="shared" si="0"/>
        <v>1</v>
      </c>
      <c r="Q17" s="125">
        <f t="shared" si="1"/>
        <v>1</v>
      </c>
      <c r="R17" s="125">
        <f t="shared" si="1"/>
        <v>1</v>
      </c>
      <c r="S17" s="125" t="s">
        <v>222</v>
      </c>
      <c r="T17" s="41"/>
    </row>
    <row r="18" spans="1:20" ht="13.5" customHeight="1" x14ac:dyDescent="0.2">
      <c r="A18" s="176"/>
      <c r="B18" s="177"/>
      <c r="C18" s="177"/>
      <c r="D18" s="176"/>
      <c r="E18" s="113"/>
      <c r="F18" s="185"/>
      <c r="G18" s="177"/>
      <c r="H18" s="176"/>
      <c r="I18" s="140"/>
      <c r="J18" s="176"/>
      <c r="K18" s="177"/>
      <c r="L18" s="125" t="s">
        <v>21</v>
      </c>
      <c r="M18" s="173" t="s">
        <v>464</v>
      </c>
      <c r="N18" s="135" t="s">
        <v>463</v>
      </c>
      <c r="O18" s="125">
        <v>2</v>
      </c>
      <c r="P18" s="125">
        <f t="shared" si="0"/>
        <v>2</v>
      </c>
      <c r="Q18" s="125">
        <f t="shared" si="1"/>
        <v>2</v>
      </c>
      <c r="R18" s="125">
        <f t="shared" si="1"/>
        <v>2</v>
      </c>
      <c r="S18" s="125" t="s">
        <v>222</v>
      </c>
      <c r="T18" s="41"/>
    </row>
    <row r="19" spans="1:20" ht="13.5" customHeight="1" x14ac:dyDescent="0.2">
      <c r="A19" s="176"/>
      <c r="B19" s="177"/>
      <c r="C19" s="177"/>
      <c r="D19" s="176"/>
      <c r="E19" s="113"/>
      <c r="F19" s="185"/>
      <c r="G19" s="177"/>
      <c r="H19" s="176"/>
      <c r="I19" s="140"/>
      <c r="J19" s="176"/>
      <c r="K19" s="177"/>
      <c r="L19" s="125" t="s">
        <v>23</v>
      </c>
      <c r="M19" s="173" t="s">
        <v>465</v>
      </c>
      <c r="N19" s="135" t="s">
        <v>463</v>
      </c>
      <c r="O19" s="125">
        <v>1</v>
      </c>
      <c r="P19" s="125">
        <f t="shared" si="0"/>
        <v>1</v>
      </c>
      <c r="Q19" s="125">
        <f t="shared" si="1"/>
        <v>1</v>
      </c>
      <c r="R19" s="125">
        <f t="shared" si="1"/>
        <v>1</v>
      </c>
      <c r="S19" s="125" t="s">
        <v>222</v>
      </c>
      <c r="T19" s="41"/>
    </row>
    <row r="20" spans="1:20" ht="13.5" customHeight="1" x14ac:dyDescent="0.2">
      <c r="A20" s="176"/>
      <c r="B20" s="177"/>
      <c r="C20" s="177"/>
      <c r="D20" s="176"/>
      <c r="E20" s="113"/>
      <c r="F20" s="185"/>
      <c r="G20" s="177"/>
      <c r="H20" s="176"/>
      <c r="I20" s="140"/>
      <c r="J20" s="176"/>
      <c r="K20" s="177"/>
      <c r="L20" s="125" t="s">
        <v>26</v>
      </c>
      <c r="M20" s="173" t="s">
        <v>466</v>
      </c>
      <c r="N20" s="135" t="s">
        <v>463</v>
      </c>
      <c r="O20" s="125">
        <v>1</v>
      </c>
      <c r="P20" s="125">
        <f t="shared" si="0"/>
        <v>1</v>
      </c>
      <c r="Q20" s="125">
        <f t="shared" si="1"/>
        <v>1</v>
      </c>
      <c r="R20" s="125">
        <f t="shared" si="1"/>
        <v>1</v>
      </c>
      <c r="S20" s="125" t="s">
        <v>222</v>
      </c>
      <c r="T20" s="41"/>
    </row>
    <row r="21" spans="1:20" ht="13.5" customHeight="1" x14ac:dyDescent="0.2">
      <c r="A21" s="176"/>
      <c r="B21" s="177"/>
      <c r="C21" s="177"/>
      <c r="D21" s="176"/>
      <c r="E21" s="113"/>
      <c r="F21" s="185"/>
      <c r="G21" s="177"/>
      <c r="H21" s="176"/>
      <c r="I21" s="140"/>
      <c r="J21" s="176"/>
      <c r="K21" s="177"/>
      <c r="L21" s="125" t="s">
        <v>29</v>
      </c>
      <c r="M21" s="173" t="s">
        <v>467</v>
      </c>
      <c r="N21" s="147" t="s">
        <v>342</v>
      </c>
      <c r="O21" s="125">
        <v>2</v>
      </c>
      <c r="P21" s="125">
        <f t="shared" si="0"/>
        <v>2</v>
      </c>
      <c r="Q21" s="125">
        <f t="shared" si="1"/>
        <v>2</v>
      </c>
      <c r="R21" s="125">
        <f t="shared" si="1"/>
        <v>2</v>
      </c>
      <c r="S21" s="125" t="s">
        <v>222</v>
      </c>
      <c r="T21" s="41"/>
    </row>
    <row r="22" spans="1:20" ht="13.5" customHeight="1" x14ac:dyDescent="0.2">
      <c r="A22" s="176"/>
      <c r="B22" s="177"/>
      <c r="C22" s="177"/>
      <c r="D22" s="176"/>
      <c r="E22" s="113"/>
      <c r="F22" s="185"/>
      <c r="G22" s="177"/>
      <c r="H22" s="176"/>
      <c r="I22" s="140"/>
      <c r="J22" s="176"/>
      <c r="K22" s="177"/>
      <c r="L22" s="125" t="s">
        <v>32</v>
      </c>
      <c r="M22" s="173" t="s">
        <v>468</v>
      </c>
      <c r="N22" s="147" t="s">
        <v>340</v>
      </c>
      <c r="O22" s="125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125" t="s">
        <v>222</v>
      </c>
      <c r="T22" s="41"/>
    </row>
    <row r="23" spans="1:20" ht="13.5" customHeight="1" x14ac:dyDescent="0.2">
      <c r="A23" s="176"/>
      <c r="B23" s="177"/>
      <c r="C23" s="177"/>
      <c r="D23" s="176"/>
      <c r="E23" s="113"/>
      <c r="F23" s="185"/>
      <c r="G23" s="177"/>
      <c r="H23" s="176"/>
      <c r="I23" s="140"/>
      <c r="J23" s="176"/>
      <c r="K23" s="177"/>
      <c r="L23" s="125" t="s">
        <v>35</v>
      </c>
      <c r="M23" s="173" t="s">
        <v>469</v>
      </c>
      <c r="N23" s="147" t="s">
        <v>345</v>
      </c>
      <c r="O23" s="125">
        <v>1</v>
      </c>
      <c r="P23" s="125">
        <f t="shared" si="0"/>
        <v>1</v>
      </c>
      <c r="Q23" s="125">
        <f t="shared" si="1"/>
        <v>1</v>
      </c>
      <c r="R23" s="125">
        <f t="shared" si="1"/>
        <v>1</v>
      </c>
      <c r="S23" s="125" t="s">
        <v>222</v>
      </c>
      <c r="T23" s="41"/>
    </row>
    <row r="24" spans="1:20" ht="13.5" customHeight="1" x14ac:dyDescent="0.2">
      <c r="A24" s="176"/>
      <c r="B24" s="177"/>
      <c r="C24" s="177"/>
      <c r="D24" s="176"/>
      <c r="E24" s="113"/>
      <c r="F24" s="185"/>
      <c r="G24" s="177"/>
      <c r="H24" s="176"/>
      <c r="I24" s="140"/>
      <c r="J24" s="176"/>
      <c r="K24" s="177"/>
      <c r="L24" s="125" t="s">
        <v>37</v>
      </c>
      <c r="M24" s="173" t="s">
        <v>470</v>
      </c>
      <c r="N24" s="147" t="s">
        <v>345</v>
      </c>
      <c r="O24" s="125">
        <v>1</v>
      </c>
      <c r="P24" s="125">
        <f t="shared" si="0"/>
        <v>1</v>
      </c>
      <c r="Q24" s="125">
        <f t="shared" si="1"/>
        <v>1</v>
      </c>
      <c r="R24" s="125">
        <f t="shared" si="1"/>
        <v>1</v>
      </c>
      <c r="S24" s="125" t="s">
        <v>222</v>
      </c>
      <c r="T24" s="41"/>
    </row>
    <row r="25" spans="1:20" ht="13.5" customHeight="1" x14ac:dyDescent="0.2">
      <c r="A25" s="182"/>
      <c r="B25" s="183"/>
      <c r="C25" s="183"/>
      <c r="D25" s="182"/>
      <c r="E25" s="113"/>
      <c r="F25" s="186"/>
      <c r="G25" s="183"/>
      <c r="H25" s="182"/>
      <c r="I25" s="142"/>
      <c r="J25" s="182"/>
      <c r="K25" s="183"/>
      <c r="L25" s="125" t="s">
        <v>40</v>
      </c>
      <c r="M25" s="135" t="s">
        <v>471</v>
      </c>
      <c r="N25" s="135" t="s">
        <v>463</v>
      </c>
      <c r="O25" s="125">
        <v>1</v>
      </c>
      <c r="P25" s="125">
        <f t="shared" si="0"/>
        <v>1</v>
      </c>
      <c r="Q25" s="125">
        <f t="shared" si="1"/>
        <v>1</v>
      </c>
      <c r="R25" s="125">
        <f t="shared" si="1"/>
        <v>1</v>
      </c>
      <c r="S25" s="125" t="s">
        <v>222</v>
      </c>
      <c r="T25" s="41"/>
    </row>
    <row r="27" spans="1:20" x14ac:dyDescent="0.2">
      <c r="M27" s="170"/>
      <c r="N27" s="170"/>
    </row>
  </sheetData>
  <mergeCells count="16">
    <mergeCell ref="F8:F25"/>
    <mergeCell ref="G8:G25"/>
    <mergeCell ref="H8:H12"/>
    <mergeCell ref="I8:I12"/>
    <mergeCell ref="J8:J12"/>
    <mergeCell ref="K8:K12"/>
    <mergeCell ref="H17:H25"/>
    <mergeCell ref="I17:I25"/>
    <mergeCell ref="J17:J25"/>
    <mergeCell ref="K17:K25"/>
    <mergeCell ref="A6:C6"/>
    <mergeCell ref="A8:A25"/>
    <mergeCell ref="B8:B25"/>
    <mergeCell ref="C8:C25"/>
    <mergeCell ref="D8:D25"/>
    <mergeCell ref="E8:E25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S25"/>
  <sheetViews>
    <sheetView view="pageLayout" topLeftCell="A13" zoomScale="115" zoomScaleNormal="100" zoomScalePageLayoutView="115" workbookViewId="0">
      <selection activeCell="J17" sqref="J17:J25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2</v>
      </c>
      <c r="C8" s="9"/>
      <c r="D8" s="24" t="s">
        <v>216</v>
      </c>
      <c r="E8" s="7"/>
      <c r="F8" s="8"/>
      <c r="G8" s="46"/>
      <c r="H8" s="46" t="s">
        <v>275</v>
      </c>
      <c r="I8" s="46">
        <v>1</v>
      </c>
      <c r="J8" s="46">
        <v>2</v>
      </c>
      <c r="K8" s="25" t="s">
        <v>19</v>
      </c>
      <c r="L8" s="22" t="s">
        <v>208</v>
      </c>
      <c r="M8" s="26" t="s">
        <v>269</v>
      </c>
      <c r="N8" s="24">
        <v>1</v>
      </c>
      <c r="O8" s="24">
        <v>1</v>
      </c>
      <c r="P8" s="23">
        <f t="shared" ref="P8:P15" si="0">O8*2</f>
        <v>2</v>
      </c>
      <c r="Q8" s="23">
        <v>99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7"/>
      <c r="H9" s="47"/>
      <c r="I9" s="47"/>
      <c r="J9" s="47"/>
      <c r="K9" s="25" t="s">
        <v>21</v>
      </c>
      <c r="L9" s="22" t="s">
        <v>209</v>
      </c>
      <c r="M9" s="33" t="s">
        <v>270</v>
      </c>
      <c r="N9" s="24">
        <v>5</v>
      </c>
      <c r="O9" s="24">
        <v>5</v>
      </c>
      <c r="P9" s="23">
        <f t="shared" si="0"/>
        <v>10</v>
      </c>
      <c r="Q9" s="23">
        <v>41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7"/>
      <c r="H10" s="47"/>
      <c r="I10" s="47"/>
      <c r="J10" s="47"/>
      <c r="K10" s="25" t="s">
        <v>23</v>
      </c>
      <c r="L10" s="22" t="s">
        <v>210</v>
      </c>
      <c r="M10" s="33" t="s">
        <v>271</v>
      </c>
      <c r="N10" s="24">
        <v>4</v>
      </c>
      <c r="O10" s="24">
        <v>4</v>
      </c>
      <c r="P10" s="23">
        <f t="shared" si="0"/>
        <v>8</v>
      </c>
      <c r="Q10" s="23">
        <v>16</v>
      </c>
      <c r="R10" s="23" t="s">
        <v>221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7"/>
      <c r="H11" s="47"/>
      <c r="I11" s="47"/>
      <c r="J11" s="47"/>
      <c r="K11" s="25" t="s">
        <v>26</v>
      </c>
      <c r="L11" s="36" t="s">
        <v>211</v>
      </c>
      <c r="M11" s="33" t="s">
        <v>272</v>
      </c>
      <c r="N11" s="33">
        <v>2</v>
      </c>
      <c r="O11" s="33">
        <v>2</v>
      </c>
      <c r="P11" s="23">
        <f t="shared" si="0"/>
        <v>4</v>
      </c>
      <c r="Q11" s="23">
        <v>100</v>
      </c>
      <c r="R11" s="23" t="s">
        <v>221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7"/>
      <c r="H12" s="47"/>
      <c r="I12" s="47"/>
      <c r="J12" s="47"/>
      <c r="K12" s="25" t="s">
        <v>29</v>
      </c>
      <c r="L12" s="40" t="s">
        <v>212</v>
      </c>
      <c r="M12" s="33" t="s">
        <v>273</v>
      </c>
      <c r="N12" s="24">
        <v>1</v>
      </c>
      <c r="O12" s="24">
        <v>1</v>
      </c>
      <c r="P12" s="23">
        <f t="shared" si="0"/>
        <v>2</v>
      </c>
      <c r="Q12" s="23">
        <v>65</v>
      </c>
      <c r="R12" s="23" t="s">
        <v>221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7"/>
      <c r="H13" s="47"/>
      <c r="I13" s="47"/>
      <c r="J13" s="47"/>
      <c r="K13" s="25" t="s">
        <v>32</v>
      </c>
      <c r="L13" s="22" t="s">
        <v>139</v>
      </c>
      <c r="M13" s="33" t="s">
        <v>215</v>
      </c>
      <c r="N13" s="24">
        <v>2</v>
      </c>
      <c r="O13" s="24">
        <v>2</v>
      </c>
      <c r="P13" s="23">
        <f t="shared" si="0"/>
        <v>4</v>
      </c>
      <c r="Q13" s="23">
        <v>2.5</v>
      </c>
      <c r="R13" s="23" t="s">
        <v>221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7"/>
      <c r="H14" s="47"/>
      <c r="I14" s="47"/>
      <c r="J14" s="47"/>
      <c r="K14" s="25" t="s">
        <v>35</v>
      </c>
      <c r="L14" s="22" t="s">
        <v>213</v>
      </c>
      <c r="M14" s="33" t="s">
        <v>274</v>
      </c>
      <c r="N14" s="24">
        <v>4</v>
      </c>
      <c r="O14" s="24">
        <v>4</v>
      </c>
      <c r="P14" s="23">
        <f t="shared" si="0"/>
        <v>8</v>
      </c>
      <c r="Q14" s="23">
        <v>16</v>
      </c>
      <c r="R14" s="23" t="s">
        <v>221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7"/>
      <c r="H15" s="47"/>
      <c r="I15" s="47"/>
      <c r="J15" s="47"/>
      <c r="K15" s="25" t="s">
        <v>37</v>
      </c>
      <c r="L15" s="22" t="s">
        <v>38</v>
      </c>
      <c r="M15" s="24" t="s">
        <v>214</v>
      </c>
      <c r="N15" s="24">
        <v>27</v>
      </c>
      <c r="O15" s="24">
        <v>27</v>
      </c>
      <c r="P15" s="23">
        <f t="shared" si="0"/>
        <v>54</v>
      </c>
      <c r="Q15" s="23">
        <v>54</v>
      </c>
      <c r="R15" s="23" t="s">
        <v>222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48"/>
      <c r="H16" s="48"/>
      <c r="I16" s="48"/>
      <c r="J16" s="48"/>
      <c r="K16" s="25" t="s">
        <v>40</v>
      </c>
      <c r="L16" s="22" t="s">
        <v>85</v>
      </c>
      <c r="M16" s="24" t="s">
        <v>214</v>
      </c>
      <c r="N16" s="24">
        <v>27</v>
      </c>
      <c r="O16" s="24">
        <v>27</v>
      </c>
      <c r="P16" s="23">
        <f>O16*2</f>
        <v>54</v>
      </c>
      <c r="Q16" s="23">
        <v>54</v>
      </c>
      <c r="R16" s="23" t="s">
        <v>222</v>
      </c>
      <c r="S16" s="23" t="s">
        <v>44</v>
      </c>
    </row>
    <row r="17" spans="1:19" x14ac:dyDescent="0.2">
      <c r="A17" s="9"/>
      <c r="B17" s="24">
        <v>3</v>
      </c>
      <c r="C17" s="9"/>
      <c r="D17" s="24" t="s">
        <v>216</v>
      </c>
      <c r="E17" s="7"/>
      <c r="F17" s="8"/>
      <c r="G17" s="46"/>
      <c r="H17" s="46" t="s">
        <v>276</v>
      </c>
      <c r="I17" s="46">
        <v>1</v>
      </c>
      <c r="J17" s="46">
        <v>3</v>
      </c>
      <c r="K17" s="25" t="s">
        <v>19</v>
      </c>
      <c r="L17" s="43" t="s">
        <v>208</v>
      </c>
      <c r="M17" s="26" t="s">
        <v>277</v>
      </c>
      <c r="N17" s="24">
        <v>1</v>
      </c>
      <c r="O17" s="24">
        <v>1</v>
      </c>
      <c r="P17" s="23">
        <f>O17*3</f>
        <v>3</v>
      </c>
      <c r="Q17" s="23">
        <v>91</v>
      </c>
      <c r="R17" s="23" t="s">
        <v>221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47"/>
      <c r="H18" s="47"/>
      <c r="I18" s="47"/>
      <c r="J18" s="47"/>
      <c r="K18" s="25" t="s">
        <v>21</v>
      </c>
      <c r="L18" s="43" t="s">
        <v>209</v>
      </c>
      <c r="M18" s="33" t="s">
        <v>278</v>
      </c>
      <c r="N18" s="24">
        <v>4</v>
      </c>
      <c r="O18" s="24">
        <v>4</v>
      </c>
      <c r="P18" s="23">
        <f t="shared" ref="P18:P25" si="1">O18*3</f>
        <v>12</v>
      </c>
      <c r="Q18" s="23">
        <v>44</v>
      </c>
      <c r="R18" s="23" t="s">
        <v>221</v>
      </c>
      <c r="S18" s="23" t="s">
        <v>44</v>
      </c>
    </row>
    <row r="19" spans="1:19" x14ac:dyDescent="0.2">
      <c r="A19" s="8"/>
      <c r="B19" s="8"/>
      <c r="C19" s="8"/>
      <c r="D19" s="8"/>
      <c r="E19" s="8"/>
      <c r="F19" s="8"/>
      <c r="G19" s="47"/>
      <c r="H19" s="47"/>
      <c r="I19" s="47"/>
      <c r="J19" s="47"/>
      <c r="K19" s="25" t="s">
        <v>23</v>
      </c>
      <c r="L19" s="43" t="s">
        <v>210</v>
      </c>
      <c r="M19" s="33" t="s">
        <v>279</v>
      </c>
      <c r="N19" s="24">
        <v>4</v>
      </c>
      <c r="O19" s="24">
        <v>4</v>
      </c>
      <c r="P19" s="23">
        <f t="shared" si="1"/>
        <v>12</v>
      </c>
      <c r="Q19" s="23">
        <v>17</v>
      </c>
      <c r="R19" s="23" t="s">
        <v>221</v>
      </c>
      <c r="S19" s="23" t="s">
        <v>44</v>
      </c>
    </row>
    <row r="20" spans="1:19" x14ac:dyDescent="0.2">
      <c r="A20" s="4"/>
      <c r="B20" s="8"/>
      <c r="C20" s="7"/>
      <c r="D20" s="7"/>
      <c r="E20" s="7"/>
      <c r="F20" s="8"/>
      <c r="G20" s="47"/>
      <c r="H20" s="47"/>
      <c r="I20" s="47"/>
      <c r="J20" s="47"/>
      <c r="K20" s="25" t="s">
        <v>26</v>
      </c>
      <c r="L20" s="36" t="s">
        <v>211</v>
      </c>
      <c r="M20" s="33" t="s">
        <v>272</v>
      </c>
      <c r="N20" s="33">
        <v>2</v>
      </c>
      <c r="O20" s="33">
        <v>2</v>
      </c>
      <c r="P20" s="23">
        <f t="shared" si="1"/>
        <v>6</v>
      </c>
      <c r="Q20" s="23">
        <v>66.5</v>
      </c>
      <c r="R20" s="23" t="s">
        <v>221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47"/>
      <c r="H21" s="47"/>
      <c r="I21" s="47"/>
      <c r="J21" s="47"/>
      <c r="K21" s="25" t="s">
        <v>29</v>
      </c>
      <c r="L21" s="40" t="s">
        <v>212</v>
      </c>
      <c r="M21" s="33" t="s">
        <v>273</v>
      </c>
      <c r="N21" s="24">
        <v>1</v>
      </c>
      <c r="O21" s="24">
        <v>1</v>
      </c>
      <c r="P21" s="23">
        <f t="shared" si="1"/>
        <v>3</v>
      </c>
      <c r="Q21" s="23">
        <v>59</v>
      </c>
      <c r="R21" s="23" t="s">
        <v>221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47"/>
      <c r="H22" s="47"/>
      <c r="I22" s="47"/>
      <c r="J22" s="47"/>
      <c r="K22" s="25" t="s">
        <v>32</v>
      </c>
      <c r="L22" s="43" t="s">
        <v>139</v>
      </c>
      <c r="M22" s="33" t="s">
        <v>215</v>
      </c>
      <c r="N22" s="24">
        <v>2</v>
      </c>
      <c r="O22" s="24">
        <v>2</v>
      </c>
      <c r="P22" s="23">
        <f t="shared" si="1"/>
        <v>6</v>
      </c>
      <c r="Q22" s="23">
        <v>4</v>
      </c>
      <c r="R22" s="23" t="s">
        <v>221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47"/>
      <c r="H23" s="47"/>
      <c r="I23" s="47"/>
      <c r="J23" s="47"/>
      <c r="K23" s="25" t="s">
        <v>35</v>
      </c>
      <c r="L23" s="43" t="s">
        <v>213</v>
      </c>
      <c r="M23" s="33" t="s">
        <v>274</v>
      </c>
      <c r="N23" s="24">
        <v>4</v>
      </c>
      <c r="O23" s="24">
        <v>4</v>
      </c>
      <c r="P23" s="23">
        <f t="shared" si="1"/>
        <v>12</v>
      </c>
      <c r="Q23" s="23">
        <v>24</v>
      </c>
      <c r="R23" s="23" t="s">
        <v>221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47"/>
      <c r="H24" s="47"/>
      <c r="I24" s="47"/>
      <c r="J24" s="47"/>
      <c r="K24" s="25" t="s">
        <v>37</v>
      </c>
      <c r="L24" s="43" t="s">
        <v>38</v>
      </c>
      <c r="M24" s="24" t="s">
        <v>214</v>
      </c>
      <c r="N24" s="24">
        <v>27</v>
      </c>
      <c r="O24" s="24">
        <v>27</v>
      </c>
      <c r="P24" s="23">
        <f t="shared" si="1"/>
        <v>81</v>
      </c>
      <c r="Q24" s="23">
        <v>54</v>
      </c>
      <c r="R24" s="23" t="s">
        <v>222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48"/>
      <c r="H25" s="48"/>
      <c r="I25" s="48"/>
      <c r="J25" s="48"/>
      <c r="K25" s="25" t="s">
        <v>40</v>
      </c>
      <c r="L25" s="43" t="s">
        <v>85</v>
      </c>
      <c r="M25" s="24" t="s">
        <v>214</v>
      </c>
      <c r="N25" s="24">
        <v>27</v>
      </c>
      <c r="O25" s="24">
        <v>27</v>
      </c>
      <c r="P25" s="23">
        <f t="shared" si="1"/>
        <v>81</v>
      </c>
      <c r="Q25" s="23">
        <v>54</v>
      </c>
      <c r="R25" s="23" t="s">
        <v>222</v>
      </c>
      <c r="S25" s="23" t="s">
        <v>44</v>
      </c>
    </row>
  </sheetData>
  <mergeCells count="9">
    <mergeCell ref="A6:B6"/>
    <mergeCell ref="G17:G25"/>
    <mergeCell ref="H17:H25"/>
    <mergeCell ref="I17:I25"/>
    <mergeCell ref="J17:J25"/>
    <mergeCell ref="J8:J16"/>
    <mergeCell ref="I8:I16"/>
    <mergeCell ref="H8:H16"/>
    <mergeCell ref="G8:G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S62"/>
  <sheetViews>
    <sheetView view="pageLayout" zoomScale="115" zoomScaleNormal="100" zoomScalePageLayoutView="115" workbookViewId="0">
      <selection activeCell="J23" sqref="J23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5.625" customWidth="1"/>
    <col min="5" max="5" width="5.875" customWidth="1"/>
    <col min="6" max="6" width="5.375" customWidth="1"/>
    <col min="7" max="7" width="7.375" customWidth="1"/>
    <col min="8" max="8" width="5.125" customWidth="1"/>
    <col min="9" max="9" width="7.25" bestFit="1" customWidth="1"/>
    <col min="10" max="10" width="6" bestFit="1" customWidth="1"/>
    <col min="11" max="11" width="5.875" customWidth="1"/>
    <col min="12" max="12" width="13.625" customWidth="1"/>
    <col min="13" max="13" width="10.375" customWidth="1"/>
    <col min="14" max="14" width="5.75" customWidth="1"/>
    <col min="15" max="15" width="5.625" customWidth="1"/>
    <col min="16" max="18" width="5.125" customWidth="1"/>
    <col min="19" max="20" width="8" customWidth="1"/>
    <col min="21" max="21" width="7.125" customWidth="1"/>
  </cols>
  <sheetData>
    <row r="4" spans="1:19" ht="12" customHeight="1" x14ac:dyDescent="0.2"/>
    <row r="5" spans="1:19" ht="3.75" customHeight="1" x14ac:dyDescent="0.2"/>
    <row r="6" spans="1:19" ht="19.5" x14ac:dyDescent="0.2">
      <c r="A6" s="49" t="s">
        <v>0</v>
      </c>
      <c r="B6" s="50"/>
      <c r="C6" s="11"/>
      <c r="D6" s="12"/>
      <c r="E6" s="12" t="s">
        <v>14</v>
      </c>
      <c r="F6" s="13"/>
      <c r="G6" s="12"/>
      <c r="H6" s="12" t="s">
        <v>13</v>
      </c>
      <c r="I6" s="12"/>
      <c r="J6" s="13"/>
      <c r="K6" s="11"/>
      <c r="L6" s="12"/>
      <c r="M6" s="6" t="s">
        <v>1</v>
      </c>
      <c r="N6" s="12"/>
      <c r="O6" s="12"/>
      <c r="P6" s="12"/>
      <c r="Q6" s="21"/>
      <c r="R6" s="21"/>
      <c r="S6" s="17" t="s">
        <v>15</v>
      </c>
    </row>
    <row r="7" spans="1:19" ht="42" customHeight="1" x14ac:dyDescent="0.2">
      <c r="A7" s="20" t="s">
        <v>2</v>
      </c>
      <c r="B7" s="3" t="s">
        <v>3</v>
      </c>
      <c r="C7" s="14" t="s">
        <v>4</v>
      </c>
      <c r="D7" s="15" t="s">
        <v>5</v>
      </c>
      <c r="E7" s="14" t="s">
        <v>6</v>
      </c>
      <c r="F7" s="14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6" t="s">
        <v>3</v>
      </c>
      <c r="Q7" s="16" t="s">
        <v>17</v>
      </c>
      <c r="R7" s="16" t="s">
        <v>18</v>
      </c>
      <c r="S7" s="2" t="s">
        <v>16</v>
      </c>
    </row>
    <row r="8" spans="1:19" ht="14.25" customHeight="1" x14ac:dyDescent="0.2">
      <c r="A8" s="9"/>
      <c r="B8" s="24">
        <v>3</v>
      </c>
      <c r="C8" s="9"/>
      <c r="D8" s="24" t="s">
        <v>186</v>
      </c>
      <c r="E8" s="7"/>
      <c r="F8" s="8"/>
      <c r="G8" s="46"/>
      <c r="H8" s="51" t="s">
        <v>207</v>
      </c>
      <c r="I8" s="46">
        <v>1</v>
      </c>
      <c r="J8" s="46">
        <v>3</v>
      </c>
      <c r="K8" s="25" t="s">
        <v>19</v>
      </c>
      <c r="L8" s="22" t="s">
        <v>187</v>
      </c>
      <c r="M8" s="26" t="s">
        <v>259</v>
      </c>
      <c r="N8" s="24">
        <v>2</v>
      </c>
      <c r="O8" s="24">
        <v>2</v>
      </c>
      <c r="P8" s="23">
        <f>O8*3</f>
        <v>6</v>
      </c>
      <c r="Q8" s="23">
        <v>72</v>
      </c>
      <c r="R8" s="23" t="s">
        <v>221</v>
      </c>
      <c r="S8" s="23" t="s">
        <v>44</v>
      </c>
    </row>
    <row r="9" spans="1:19" ht="14.25" customHeight="1" x14ac:dyDescent="0.2">
      <c r="A9" s="4"/>
      <c r="B9" s="8"/>
      <c r="C9" s="7"/>
      <c r="D9" s="7"/>
      <c r="E9" s="7"/>
      <c r="F9" s="8"/>
      <c r="G9" s="47"/>
      <c r="H9" s="52"/>
      <c r="I9" s="47"/>
      <c r="J9" s="47"/>
      <c r="K9" s="25" t="s">
        <v>21</v>
      </c>
      <c r="L9" s="22" t="s">
        <v>188</v>
      </c>
      <c r="M9" s="33" t="s">
        <v>260</v>
      </c>
      <c r="N9" s="24">
        <v>2</v>
      </c>
      <c r="O9" s="24">
        <v>2</v>
      </c>
      <c r="P9" s="23">
        <f t="shared" ref="P9:P27" si="0">O9*3</f>
        <v>6</v>
      </c>
      <c r="Q9" s="23">
        <v>32</v>
      </c>
      <c r="R9" s="23" t="s">
        <v>221</v>
      </c>
      <c r="S9" s="23" t="s">
        <v>44</v>
      </c>
    </row>
    <row r="10" spans="1:19" ht="14.25" customHeight="1" x14ac:dyDescent="0.2">
      <c r="A10" s="8"/>
      <c r="B10" s="8"/>
      <c r="C10" s="8"/>
      <c r="D10" s="8"/>
      <c r="E10" s="8"/>
      <c r="F10" s="8"/>
      <c r="G10" s="47"/>
      <c r="H10" s="52"/>
      <c r="I10" s="47"/>
      <c r="J10" s="47"/>
      <c r="K10" s="25" t="s">
        <v>23</v>
      </c>
      <c r="L10" s="22" t="s">
        <v>189</v>
      </c>
      <c r="M10" s="33" t="s">
        <v>261</v>
      </c>
      <c r="N10" s="24">
        <v>1</v>
      </c>
      <c r="O10" s="24">
        <v>1</v>
      </c>
      <c r="P10" s="23">
        <f t="shared" si="0"/>
        <v>3</v>
      </c>
      <c r="Q10" s="23">
        <v>13</v>
      </c>
      <c r="R10" s="23" t="s">
        <v>221</v>
      </c>
      <c r="S10" s="23" t="s">
        <v>44</v>
      </c>
    </row>
    <row r="11" spans="1:19" ht="14.25" customHeight="1" x14ac:dyDescent="0.2">
      <c r="A11" s="4"/>
      <c r="B11" s="8"/>
      <c r="C11" s="7"/>
      <c r="D11" s="7"/>
      <c r="E11" s="7"/>
      <c r="F11" s="8"/>
      <c r="G11" s="47"/>
      <c r="H11" s="52"/>
      <c r="I11" s="47"/>
      <c r="J11" s="47"/>
      <c r="K11" s="25" t="s">
        <v>26</v>
      </c>
      <c r="L11" s="36" t="s">
        <v>264</v>
      </c>
      <c r="M11" s="33">
        <v>1368</v>
      </c>
      <c r="N11" s="33">
        <v>16</v>
      </c>
      <c r="O11" s="33">
        <v>16</v>
      </c>
      <c r="P11" s="23">
        <f t="shared" si="0"/>
        <v>48</v>
      </c>
      <c r="Q11" s="23">
        <v>48</v>
      </c>
      <c r="R11" s="23" t="s">
        <v>222</v>
      </c>
      <c r="S11" s="23" t="s">
        <v>44</v>
      </c>
    </row>
    <row r="12" spans="1:19" x14ac:dyDescent="0.2">
      <c r="A12" s="4"/>
      <c r="B12" s="8"/>
      <c r="C12" s="7"/>
      <c r="D12" s="7"/>
      <c r="E12" s="7"/>
      <c r="F12" s="8"/>
      <c r="G12" s="47"/>
      <c r="H12" s="52"/>
      <c r="I12" s="47"/>
      <c r="J12" s="47"/>
      <c r="K12" s="25" t="s">
        <v>29</v>
      </c>
      <c r="L12" s="40" t="s">
        <v>190</v>
      </c>
      <c r="M12" s="33">
        <v>1224</v>
      </c>
      <c r="N12" s="24">
        <v>2</v>
      </c>
      <c r="O12" s="24">
        <v>2</v>
      </c>
      <c r="P12" s="23">
        <f t="shared" si="0"/>
        <v>6</v>
      </c>
      <c r="Q12" s="23">
        <v>1.5</v>
      </c>
      <c r="R12" s="23" t="s">
        <v>221</v>
      </c>
      <c r="S12" s="23" t="s">
        <v>44</v>
      </c>
    </row>
    <row r="13" spans="1:19" x14ac:dyDescent="0.2">
      <c r="A13" s="4"/>
      <c r="B13" s="8"/>
      <c r="C13" s="7"/>
      <c r="D13" s="7"/>
      <c r="E13" s="7"/>
      <c r="F13" s="8"/>
      <c r="G13" s="47"/>
      <c r="H13" s="52"/>
      <c r="I13" s="47"/>
      <c r="J13" s="47"/>
      <c r="K13" s="25" t="s">
        <v>32</v>
      </c>
      <c r="L13" s="22" t="s">
        <v>191</v>
      </c>
      <c r="M13" s="33" t="s">
        <v>44</v>
      </c>
      <c r="N13" s="24">
        <v>8</v>
      </c>
      <c r="O13" s="24">
        <v>8</v>
      </c>
      <c r="P13" s="23">
        <f t="shared" si="0"/>
        <v>24</v>
      </c>
      <c r="Q13" s="23">
        <v>24</v>
      </c>
      <c r="R13" s="23" t="s">
        <v>222</v>
      </c>
      <c r="S13" s="23" t="s">
        <v>44</v>
      </c>
    </row>
    <row r="14" spans="1:19" x14ac:dyDescent="0.2">
      <c r="A14" s="4"/>
      <c r="B14" s="8"/>
      <c r="C14" s="7"/>
      <c r="D14" s="7"/>
      <c r="E14" s="7"/>
      <c r="F14" s="8"/>
      <c r="G14" s="47"/>
      <c r="H14" s="52"/>
      <c r="I14" s="47"/>
      <c r="J14" s="47"/>
      <c r="K14" s="25" t="s">
        <v>35</v>
      </c>
      <c r="L14" s="22" t="s">
        <v>192</v>
      </c>
      <c r="M14" s="33" t="s">
        <v>44</v>
      </c>
      <c r="N14" s="24">
        <v>16</v>
      </c>
      <c r="O14" s="24">
        <v>16</v>
      </c>
      <c r="P14" s="23">
        <f t="shared" si="0"/>
        <v>48</v>
      </c>
      <c r="Q14" s="23">
        <v>48</v>
      </c>
      <c r="R14" s="23" t="s">
        <v>222</v>
      </c>
      <c r="S14" s="23" t="s">
        <v>44</v>
      </c>
    </row>
    <row r="15" spans="1:19" x14ac:dyDescent="0.2">
      <c r="A15" s="4"/>
      <c r="B15" s="8"/>
      <c r="C15" s="7"/>
      <c r="D15" s="7"/>
      <c r="E15" s="7"/>
      <c r="F15" s="8"/>
      <c r="G15" s="47"/>
      <c r="H15" s="52"/>
      <c r="I15" s="47"/>
      <c r="J15" s="47"/>
      <c r="K15" s="25" t="s">
        <v>37</v>
      </c>
      <c r="L15" s="22" t="s">
        <v>193</v>
      </c>
      <c r="M15" s="24" t="s">
        <v>44</v>
      </c>
      <c r="N15" s="24">
        <v>16</v>
      </c>
      <c r="O15" s="24">
        <v>16</v>
      </c>
      <c r="P15" s="23">
        <f t="shared" si="0"/>
        <v>48</v>
      </c>
      <c r="Q15" s="23">
        <v>48</v>
      </c>
      <c r="R15" s="23" t="s">
        <v>222</v>
      </c>
      <c r="S15" s="23" t="s">
        <v>44</v>
      </c>
    </row>
    <row r="16" spans="1:19" x14ac:dyDescent="0.2">
      <c r="A16" s="4"/>
      <c r="B16" s="8"/>
      <c r="C16" s="7"/>
      <c r="D16" s="7"/>
      <c r="E16" s="7"/>
      <c r="F16" s="8"/>
      <c r="G16" s="47"/>
      <c r="H16" s="52"/>
      <c r="I16" s="47"/>
      <c r="J16" s="47"/>
      <c r="K16" s="25" t="s">
        <v>40</v>
      </c>
      <c r="L16" s="22" t="s">
        <v>194</v>
      </c>
      <c r="M16" s="24" t="s">
        <v>44</v>
      </c>
      <c r="N16" s="24">
        <v>8</v>
      </c>
      <c r="O16" s="24">
        <v>8</v>
      </c>
      <c r="P16" s="23">
        <f t="shared" si="0"/>
        <v>24</v>
      </c>
      <c r="Q16" s="23">
        <v>24</v>
      </c>
      <c r="R16" s="23" t="s">
        <v>222</v>
      </c>
      <c r="S16" s="23" t="s">
        <v>44</v>
      </c>
    </row>
    <row r="17" spans="1:19" x14ac:dyDescent="0.2">
      <c r="A17" s="4"/>
      <c r="B17" s="8"/>
      <c r="C17" s="7"/>
      <c r="D17" s="7"/>
      <c r="E17" s="7"/>
      <c r="F17" s="8"/>
      <c r="G17" s="47"/>
      <c r="H17" s="52"/>
      <c r="I17" s="47"/>
      <c r="J17" s="47"/>
      <c r="K17" s="25" t="s">
        <v>51</v>
      </c>
      <c r="L17" s="22" t="s">
        <v>195</v>
      </c>
      <c r="M17" s="24" t="s">
        <v>44</v>
      </c>
      <c r="N17" s="24">
        <v>24</v>
      </c>
      <c r="O17" s="24">
        <v>24</v>
      </c>
      <c r="P17" s="23">
        <f t="shared" si="0"/>
        <v>72</v>
      </c>
      <c r="Q17" s="23">
        <v>72</v>
      </c>
      <c r="R17" s="23" t="s">
        <v>222</v>
      </c>
      <c r="S17" s="23" t="s">
        <v>44</v>
      </c>
    </row>
    <row r="18" spans="1:19" x14ac:dyDescent="0.2">
      <c r="A18" s="4"/>
      <c r="B18" s="8"/>
      <c r="C18" s="7"/>
      <c r="D18" s="7"/>
      <c r="E18" s="7"/>
      <c r="F18" s="8"/>
      <c r="G18" s="47"/>
      <c r="H18" s="52"/>
      <c r="I18" s="47"/>
      <c r="J18" s="47"/>
      <c r="K18" s="25" t="s">
        <v>52</v>
      </c>
      <c r="L18" s="22" t="s">
        <v>196</v>
      </c>
      <c r="M18" s="24" t="s">
        <v>262</v>
      </c>
      <c r="N18" s="24">
        <v>1</v>
      </c>
      <c r="O18" s="24">
        <v>1</v>
      </c>
      <c r="P18" s="23">
        <f t="shared" si="0"/>
        <v>3</v>
      </c>
      <c r="Q18" s="23">
        <v>1.5</v>
      </c>
      <c r="R18" s="23" t="s">
        <v>221</v>
      </c>
      <c r="S18" s="23" t="s">
        <v>44</v>
      </c>
    </row>
    <row r="19" spans="1:19" x14ac:dyDescent="0.2">
      <c r="A19" s="4"/>
      <c r="B19" s="8"/>
      <c r="C19" s="7"/>
      <c r="D19" s="7"/>
      <c r="E19" s="7"/>
      <c r="F19" s="8"/>
      <c r="G19" s="47"/>
      <c r="H19" s="52"/>
      <c r="I19" s="47"/>
      <c r="J19" s="47"/>
      <c r="K19" s="25" t="s">
        <v>53</v>
      </c>
      <c r="L19" s="22" t="s">
        <v>197</v>
      </c>
      <c r="M19" s="24" t="s">
        <v>262</v>
      </c>
      <c r="N19" s="24">
        <v>1</v>
      </c>
      <c r="O19" s="24">
        <v>1</v>
      </c>
      <c r="P19" s="23">
        <f t="shared" si="0"/>
        <v>3</v>
      </c>
      <c r="Q19" s="23">
        <v>1.5</v>
      </c>
      <c r="R19" s="23" t="s">
        <v>221</v>
      </c>
      <c r="S19" s="23" t="s">
        <v>44</v>
      </c>
    </row>
    <row r="20" spans="1:19" x14ac:dyDescent="0.2">
      <c r="A20" s="4"/>
      <c r="B20" s="8"/>
      <c r="C20" s="7"/>
      <c r="D20" s="7"/>
      <c r="E20" s="7"/>
      <c r="F20" s="8"/>
      <c r="G20" s="47"/>
      <c r="H20" s="52"/>
      <c r="I20" s="47"/>
      <c r="J20" s="47"/>
      <c r="K20" s="25" t="s">
        <v>57</v>
      </c>
      <c r="L20" s="22" t="s">
        <v>198</v>
      </c>
      <c r="M20" s="24" t="s">
        <v>203</v>
      </c>
      <c r="N20" s="24">
        <v>8</v>
      </c>
      <c r="O20" s="24">
        <v>8</v>
      </c>
      <c r="P20" s="23">
        <f t="shared" si="0"/>
        <v>24</v>
      </c>
      <c r="Q20" s="23">
        <v>24</v>
      </c>
      <c r="R20" s="23" t="s">
        <v>222</v>
      </c>
      <c r="S20" s="23" t="s">
        <v>44</v>
      </c>
    </row>
    <row r="21" spans="1:19" x14ac:dyDescent="0.2">
      <c r="A21" s="4"/>
      <c r="B21" s="8"/>
      <c r="C21" s="7"/>
      <c r="D21" s="7"/>
      <c r="E21" s="7"/>
      <c r="F21" s="8"/>
      <c r="G21" s="47"/>
      <c r="H21" s="52"/>
      <c r="I21" s="47"/>
      <c r="J21" s="47"/>
      <c r="K21" s="25" t="s">
        <v>58</v>
      </c>
      <c r="L21" s="22" t="s">
        <v>199</v>
      </c>
      <c r="M21" s="24" t="s">
        <v>204</v>
      </c>
      <c r="N21" s="24">
        <v>8</v>
      </c>
      <c r="O21" s="24">
        <v>8</v>
      </c>
      <c r="P21" s="23">
        <f t="shared" si="0"/>
        <v>24</v>
      </c>
      <c r="Q21" s="23">
        <v>24</v>
      </c>
      <c r="R21" s="23" t="s">
        <v>222</v>
      </c>
      <c r="S21" s="23" t="s">
        <v>44</v>
      </c>
    </row>
    <row r="22" spans="1:19" x14ac:dyDescent="0.2">
      <c r="A22" s="4"/>
      <c r="B22" s="8"/>
      <c r="C22" s="7"/>
      <c r="D22" s="7"/>
      <c r="E22" s="7"/>
      <c r="F22" s="8"/>
      <c r="G22" s="47"/>
      <c r="H22" s="52"/>
      <c r="I22" s="47"/>
      <c r="J22" s="47"/>
      <c r="K22" s="25" t="s">
        <v>64</v>
      </c>
      <c r="L22" s="22" t="s">
        <v>200</v>
      </c>
      <c r="M22" s="24" t="s">
        <v>205</v>
      </c>
      <c r="N22" s="24">
        <v>4</v>
      </c>
      <c r="O22" s="24">
        <v>4</v>
      </c>
      <c r="P22" s="23">
        <f t="shared" si="0"/>
        <v>12</v>
      </c>
      <c r="Q22" s="23">
        <v>1</v>
      </c>
      <c r="R22" s="23" t="s">
        <v>221</v>
      </c>
      <c r="S22" s="23" t="s">
        <v>44</v>
      </c>
    </row>
    <row r="23" spans="1:19" x14ac:dyDescent="0.2">
      <c r="A23" s="4"/>
      <c r="B23" s="8"/>
      <c r="C23" s="7"/>
      <c r="D23" s="7"/>
      <c r="E23" s="7"/>
      <c r="F23" s="8"/>
      <c r="G23" s="47"/>
      <c r="H23" s="52"/>
      <c r="I23" s="47"/>
      <c r="J23" s="47"/>
      <c r="K23" s="25" t="s">
        <v>65</v>
      </c>
      <c r="L23" s="22" t="s">
        <v>201</v>
      </c>
      <c r="M23" s="24" t="s">
        <v>268</v>
      </c>
      <c r="N23" s="24">
        <v>8</v>
      </c>
      <c r="O23" s="24">
        <v>8</v>
      </c>
      <c r="P23" s="23">
        <f t="shared" si="0"/>
        <v>24</v>
      </c>
      <c r="Q23" s="23">
        <v>24</v>
      </c>
      <c r="R23" s="23" t="s">
        <v>222</v>
      </c>
      <c r="S23" s="23" t="s">
        <v>44</v>
      </c>
    </row>
    <row r="24" spans="1:19" x14ac:dyDescent="0.2">
      <c r="A24" s="4"/>
      <c r="B24" s="8"/>
      <c r="C24" s="7"/>
      <c r="D24" s="7"/>
      <c r="E24" s="7"/>
      <c r="F24" s="8"/>
      <c r="G24" s="47"/>
      <c r="H24" s="52"/>
      <c r="I24" s="47"/>
      <c r="J24" s="47"/>
      <c r="K24" s="25" t="s">
        <v>66</v>
      </c>
      <c r="L24" s="22" t="s">
        <v>202</v>
      </c>
      <c r="M24" s="24" t="s">
        <v>70</v>
      </c>
      <c r="N24" s="24">
        <v>8</v>
      </c>
      <c r="O24" s="24">
        <v>8</v>
      </c>
      <c r="P24" s="23">
        <f t="shared" si="0"/>
        <v>24</v>
      </c>
      <c r="Q24" s="23">
        <v>24</v>
      </c>
      <c r="R24" s="23" t="s">
        <v>222</v>
      </c>
      <c r="S24" s="23" t="s">
        <v>44</v>
      </c>
    </row>
    <row r="25" spans="1:19" x14ac:dyDescent="0.2">
      <c r="A25" s="4"/>
      <c r="B25" s="8"/>
      <c r="C25" s="7"/>
      <c r="D25" s="7"/>
      <c r="E25" s="7"/>
      <c r="F25" s="8"/>
      <c r="G25" s="47"/>
      <c r="H25" s="52"/>
      <c r="I25" s="47"/>
      <c r="J25" s="47"/>
      <c r="K25" s="25" t="s">
        <v>67</v>
      </c>
      <c r="L25" s="22" t="s">
        <v>38</v>
      </c>
      <c r="M25" s="24" t="s">
        <v>206</v>
      </c>
      <c r="N25" s="24">
        <v>40</v>
      </c>
      <c r="O25" s="24">
        <v>40</v>
      </c>
      <c r="P25" s="23">
        <f t="shared" si="0"/>
        <v>120</v>
      </c>
      <c r="Q25" s="23">
        <v>120</v>
      </c>
      <c r="R25" s="23" t="s">
        <v>222</v>
      </c>
      <c r="S25" s="23" t="s">
        <v>44</v>
      </c>
    </row>
    <row r="26" spans="1:19" x14ac:dyDescent="0.2">
      <c r="A26" s="4"/>
      <c r="B26" s="8"/>
      <c r="C26" s="7"/>
      <c r="D26" s="7"/>
      <c r="E26" s="7"/>
      <c r="F26" s="8"/>
      <c r="G26" s="48"/>
      <c r="H26" s="53"/>
      <c r="I26" s="48"/>
      <c r="J26" s="48"/>
      <c r="K26" s="25" t="s">
        <v>68</v>
      </c>
      <c r="L26" s="22" t="s">
        <v>85</v>
      </c>
      <c r="M26" s="24" t="s">
        <v>70</v>
      </c>
      <c r="N26" s="24">
        <v>40</v>
      </c>
      <c r="O26" s="24">
        <v>40</v>
      </c>
      <c r="P26" s="23">
        <f t="shared" si="0"/>
        <v>120</v>
      </c>
      <c r="Q26" s="23">
        <v>120</v>
      </c>
      <c r="R26" s="23" t="s">
        <v>222</v>
      </c>
      <c r="S26" s="23" t="s">
        <v>44</v>
      </c>
    </row>
    <row r="27" spans="1:19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25" t="s">
        <v>69</v>
      </c>
      <c r="L27" s="42" t="s">
        <v>200</v>
      </c>
      <c r="M27" s="24" t="s">
        <v>263</v>
      </c>
      <c r="N27" s="24">
        <v>4</v>
      </c>
      <c r="O27" s="24">
        <v>4</v>
      </c>
      <c r="P27" s="23">
        <f t="shared" si="0"/>
        <v>12</v>
      </c>
      <c r="Q27" s="23">
        <v>1.7</v>
      </c>
      <c r="R27" s="23" t="s">
        <v>221</v>
      </c>
      <c r="S27" s="23" t="s">
        <v>44</v>
      </c>
    </row>
    <row r="41" spans="1:19" ht="19.5" x14ac:dyDescent="0.2">
      <c r="A41" s="49" t="s">
        <v>0</v>
      </c>
      <c r="B41" s="50"/>
      <c r="C41" s="11"/>
      <c r="D41" s="12"/>
      <c r="E41" s="12" t="s">
        <v>14</v>
      </c>
      <c r="F41" s="13"/>
      <c r="G41" s="12"/>
      <c r="H41" s="12" t="s">
        <v>13</v>
      </c>
      <c r="I41" s="12"/>
      <c r="J41" s="13"/>
      <c r="K41" s="11"/>
      <c r="L41" s="12"/>
      <c r="M41" s="44" t="s">
        <v>1</v>
      </c>
      <c r="N41" s="12"/>
      <c r="O41" s="12"/>
      <c r="P41" s="12"/>
      <c r="Q41" s="21"/>
      <c r="R41" s="21"/>
      <c r="S41" s="17" t="s">
        <v>15</v>
      </c>
    </row>
    <row r="42" spans="1:19" ht="45" x14ac:dyDescent="0.2">
      <c r="A42" s="20" t="s">
        <v>2</v>
      </c>
      <c r="B42" s="3" t="s">
        <v>3</v>
      </c>
      <c r="C42" s="14" t="s">
        <v>4</v>
      </c>
      <c r="D42" s="15" t="s">
        <v>5</v>
      </c>
      <c r="E42" s="14" t="s">
        <v>6</v>
      </c>
      <c r="F42" s="14" t="s">
        <v>3</v>
      </c>
      <c r="G42" s="3" t="s">
        <v>10</v>
      </c>
      <c r="H42" s="3" t="s">
        <v>5</v>
      </c>
      <c r="I42" s="3" t="s">
        <v>12</v>
      </c>
      <c r="J42" s="3" t="s">
        <v>11</v>
      </c>
      <c r="K42" s="1" t="s">
        <v>7</v>
      </c>
      <c r="L42" s="2" t="s">
        <v>5</v>
      </c>
      <c r="M42" s="2" t="s">
        <v>9</v>
      </c>
      <c r="N42" s="3" t="s">
        <v>8</v>
      </c>
      <c r="O42" s="3" t="s">
        <v>6</v>
      </c>
      <c r="P42" s="16" t="s">
        <v>3</v>
      </c>
      <c r="Q42" s="16" t="s">
        <v>17</v>
      </c>
      <c r="R42" s="16" t="s">
        <v>18</v>
      </c>
      <c r="S42" s="2" t="s">
        <v>16</v>
      </c>
    </row>
    <row r="43" spans="1:19" x14ac:dyDescent="0.2">
      <c r="A43" s="9"/>
      <c r="B43" s="24">
        <v>3</v>
      </c>
      <c r="C43" s="9"/>
      <c r="D43" s="24" t="s">
        <v>186</v>
      </c>
      <c r="E43" s="7"/>
      <c r="F43" s="8"/>
      <c r="G43" s="46"/>
      <c r="H43" s="51" t="s">
        <v>207</v>
      </c>
      <c r="I43" s="46">
        <v>1</v>
      </c>
      <c r="J43" s="46">
        <v>3</v>
      </c>
      <c r="K43" s="25" t="s">
        <v>19</v>
      </c>
      <c r="L43" s="43" t="s">
        <v>187</v>
      </c>
      <c r="M43" s="26" t="s">
        <v>259</v>
      </c>
      <c r="N43" s="24">
        <v>2</v>
      </c>
      <c r="O43" s="24">
        <v>2</v>
      </c>
      <c r="P43" s="23">
        <f>O43*3</f>
        <v>6</v>
      </c>
      <c r="Q43" s="23">
        <v>72</v>
      </c>
      <c r="R43" s="23" t="s">
        <v>221</v>
      </c>
      <c r="S43" s="23" t="s">
        <v>44</v>
      </c>
    </row>
    <row r="44" spans="1:19" x14ac:dyDescent="0.2">
      <c r="A44" s="4"/>
      <c r="B44" s="8"/>
      <c r="C44" s="7"/>
      <c r="D44" s="7"/>
      <c r="E44" s="7"/>
      <c r="F44" s="8"/>
      <c r="G44" s="47"/>
      <c r="H44" s="52"/>
      <c r="I44" s="47"/>
      <c r="J44" s="47"/>
      <c r="K44" s="25" t="s">
        <v>21</v>
      </c>
      <c r="L44" s="43" t="s">
        <v>188</v>
      </c>
      <c r="M44" s="33" t="s">
        <v>265</v>
      </c>
      <c r="N44" s="24">
        <v>2</v>
      </c>
      <c r="O44" s="24">
        <v>2</v>
      </c>
      <c r="P44" s="23">
        <f t="shared" ref="P44:P62" si="1">O44*3</f>
        <v>6</v>
      </c>
      <c r="Q44" s="23">
        <v>37</v>
      </c>
      <c r="R44" s="23" t="s">
        <v>221</v>
      </c>
      <c r="S44" s="23" t="s">
        <v>44</v>
      </c>
    </row>
    <row r="45" spans="1:19" x14ac:dyDescent="0.2">
      <c r="A45" s="8"/>
      <c r="B45" s="8"/>
      <c r="C45" s="8"/>
      <c r="D45" s="8"/>
      <c r="E45" s="8"/>
      <c r="F45" s="8"/>
      <c r="G45" s="47"/>
      <c r="H45" s="52"/>
      <c r="I45" s="47"/>
      <c r="J45" s="47"/>
      <c r="K45" s="25" t="s">
        <v>23</v>
      </c>
      <c r="L45" s="43" t="s">
        <v>189</v>
      </c>
      <c r="M45" s="33" t="s">
        <v>266</v>
      </c>
      <c r="N45" s="24">
        <v>1</v>
      </c>
      <c r="O45" s="24">
        <v>1</v>
      </c>
      <c r="P45" s="23">
        <f t="shared" si="1"/>
        <v>3</v>
      </c>
      <c r="Q45" s="23">
        <v>16</v>
      </c>
      <c r="R45" s="23" t="s">
        <v>221</v>
      </c>
      <c r="S45" s="23" t="s">
        <v>44</v>
      </c>
    </row>
    <row r="46" spans="1:19" x14ac:dyDescent="0.2">
      <c r="A46" s="4"/>
      <c r="B46" s="8"/>
      <c r="C46" s="7"/>
      <c r="D46" s="7"/>
      <c r="E46" s="7"/>
      <c r="F46" s="8"/>
      <c r="G46" s="47"/>
      <c r="H46" s="52"/>
      <c r="I46" s="47"/>
      <c r="J46" s="47"/>
      <c r="K46" s="25" t="s">
        <v>26</v>
      </c>
      <c r="L46" s="36" t="s">
        <v>264</v>
      </c>
      <c r="M46" s="33">
        <v>1368</v>
      </c>
      <c r="N46" s="33">
        <v>18</v>
      </c>
      <c r="O46" s="33">
        <v>18</v>
      </c>
      <c r="P46" s="23">
        <f t="shared" si="1"/>
        <v>54</v>
      </c>
      <c r="Q46" s="23">
        <v>54</v>
      </c>
      <c r="R46" s="23" t="s">
        <v>222</v>
      </c>
      <c r="S46" s="23" t="s">
        <v>44</v>
      </c>
    </row>
    <row r="47" spans="1:19" x14ac:dyDescent="0.2">
      <c r="A47" s="4"/>
      <c r="B47" s="8"/>
      <c r="C47" s="7"/>
      <c r="D47" s="7"/>
      <c r="E47" s="7"/>
      <c r="F47" s="8"/>
      <c r="G47" s="47"/>
      <c r="H47" s="52"/>
      <c r="I47" s="47"/>
      <c r="J47" s="47"/>
      <c r="K47" s="25" t="s">
        <v>29</v>
      </c>
      <c r="L47" s="40" t="s">
        <v>190</v>
      </c>
      <c r="M47" s="33">
        <v>1412</v>
      </c>
      <c r="N47" s="24">
        <v>2</v>
      </c>
      <c r="O47" s="24">
        <v>2</v>
      </c>
      <c r="P47" s="23">
        <f t="shared" si="1"/>
        <v>6</v>
      </c>
      <c r="Q47" s="23">
        <v>2</v>
      </c>
      <c r="R47" s="23" t="s">
        <v>221</v>
      </c>
      <c r="S47" s="23" t="s">
        <v>44</v>
      </c>
    </row>
    <row r="48" spans="1:19" x14ac:dyDescent="0.2">
      <c r="A48" s="4"/>
      <c r="B48" s="8"/>
      <c r="C48" s="7"/>
      <c r="D48" s="7"/>
      <c r="E48" s="7"/>
      <c r="F48" s="8"/>
      <c r="G48" s="47"/>
      <c r="H48" s="52"/>
      <c r="I48" s="47"/>
      <c r="J48" s="47"/>
      <c r="K48" s="25" t="s">
        <v>32</v>
      </c>
      <c r="L48" s="43" t="s">
        <v>191</v>
      </c>
      <c r="M48" s="33" t="s">
        <v>44</v>
      </c>
      <c r="N48" s="24">
        <v>9</v>
      </c>
      <c r="O48" s="24">
        <v>9</v>
      </c>
      <c r="P48" s="23">
        <f t="shared" si="1"/>
        <v>27</v>
      </c>
      <c r="Q48" s="23">
        <v>27</v>
      </c>
      <c r="R48" s="23" t="s">
        <v>222</v>
      </c>
      <c r="S48" s="23" t="s">
        <v>44</v>
      </c>
    </row>
    <row r="49" spans="1:19" x14ac:dyDescent="0.2">
      <c r="A49" s="4"/>
      <c r="B49" s="8"/>
      <c r="C49" s="7"/>
      <c r="D49" s="7"/>
      <c r="E49" s="7"/>
      <c r="F49" s="8"/>
      <c r="G49" s="47"/>
      <c r="H49" s="52"/>
      <c r="I49" s="47"/>
      <c r="J49" s="47"/>
      <c r="K49" s="25" t="s">
        <v>35</v>
      </c>
      <c r="L49" s="43" t="s">
        <v>192</v>
      </c>
      <c r="M49" s="33" t="s">
        <v>44</v>
      </c>
      <c r="N49" s="24">
        <v>18</v>
      </c>
      <c r="O49" s="24">
        <v>18</v>
      </c>
      <c r="P49" s="23">
        <f t="shared" si="1"/>
        <v>54</v>
      </c>
      <c r="Q49" s="23">
        <v>54</v>
      </c>
      <c r="R49" s="23" t="s">
        <v>222</v>
      </c>
      <c r="S49" s="23" t="s">
        <v>44</v>
      </c>
    </row>
    <row r="50" spans="1:19" x14ac:dyDescent="0.2">
      <c r="A50" s="4"/>
      <c r="B50" s="8"/>
      <c r="C50" s="7"/>
      <c r="D50" s="7"/>
      <c r="E50" s="7"/>
      <c r="F50" s="8"/>
      <c r="G50" s="47"/>
      <c r="H50" s="52"/>
      <c r="I50" s="47"/>
      <c r="J50" s="47"/>
      <c r="K50" s="25" t="s">
        <v>37</v>
      </c>
      <c r="L50" s="43" t="s">
        <v>193</v>
      </c>
      <c r="M50" s="24" t="s">
        <v>44</v>
      </c>
      <c r="N50" s="24">
        <v>18</v>
      </c>
      <c r="O50" s="24">
        <v>18</v>
      </c>
      <c r="P50" s="23">
        <f t="shared" si="1"/>
        <v>54</v>
      </c>
      <c r="Q50" s="23">
        <v>54</v>
      </c>
      <c r="R50" s="23" t="s">
        <v>222</v>
      </c>
      <c r="S50" s="23" t="s">
        <v>44</v>
      </c>
    </row>
    <row r="51" spans="1:19" x14ac:dyDescent="0.2">
      <c r="A51" s="4"/>
      <c r="B51" s="8"/>
      <c r="C51" s="7"/>
      <c r="D51" s="7"/>
      <c r="E51" s="7"/>
      <c r="F51" s="8"/>
      <c r="G51" s="47"/>
      <c r="H51" s="52"/>
      <c r="I51" s="47"/>
      <c r="J51" s="47"/>
      <c r="K51" s="25" t="s">
        <v>40</v>
      </c>
      <c r="L51" s="43" t="s">
        <v>194</v>
      </c>
      <c r="M51" s="24" t="s">
        <v>44</v>
      </c>
      <c r="N51" s="24">
        <v>8</v>
      </c>
      <c r="O51" s="24">
        <v>8</v>
      </c>
      <c r="P51" s="23">
        <f t="shared" si="1"/>
        <v>24</v>
      </c>
      <c r="Q51" s="23">
        <v>24</v>
      </c>
      <c r="R51" s="23" t="s">
        <v>222</v>
      </c>
      <c r="S51" s="23" t="s">
        <v>44</v>
      </c>
    </row>
    <row r="52" spans="1:19" x14ac:dyDescent="0.2">
      <c r="A52" s="4"/>
      <c r="B52" s="8"/>
      <c r="C52" s="7"/>
      <c r="D52" s="7"/>
      <c r="E52" s="7"/>
      <c r="F52" s="8"/>
      <c r="G52" s="47"/>
      <c r="H52" s="52"/>
      <c r="I52" s="47"/>
      <c r="J52" s="47"/>
      <c r="K52" s="25" t="s">
        <v>51</v>
      </c>
      <c r="L52" s="43" t="s">
        <v>195</v>
      </c>
      <c r="M52" s="24" t="s">
        <v>44</v>
      </c>
      <c r="N52" s="24">
        <v>27</v>
      </c>
      <c r="O52" s="24">
        <v>27</v>
      </c>
      <c r="P52" s="23">
        <f t="shared" si="1"/>
        <v>81</v>
      </c>
      <c r="Q52" s="23">
        <v>81</v>
      </c>
      <c r="R52" s="23" t="s">
        <v>222</v>
      </c>
      <c r="S52" s="23" t="s">
        <v>44</v>
      </c>
    </row>
    <row r="53" spans="1:19" x14ac:dyDescent="0.2">
      <c r="A53" s="4"/>
      <c r="B53" s="8"/>
      <c r="C53" s="7"/>
      <c r="D53" s="7"/>
      <c r="E53" s="7"/>
      <c r="F53" s="8"/>
      <c r="G53" s="47"/>
      <c r="H53" s="52"/>
      <c r="I53" s="47"/>
      <c r="J53" s="47"/>
      <c r="K53" s="25" t="s">
        <v>52</v>
      </c>
      <c r="L53" s="43" t="s">
        <v>196</v>
      </c>
      <c r="M53" s="24" t="s">
        <v>267</v>
      </c>
      <c r="N53" s="24">
        <v>1</v>
      </c>
      <c r="O53" s="24">
        <v>1</v>
      </c>
      <c r="P53" s="23">
        <f t="shared" si="1"/>
        <v>3</v>
      </c>
      <c r="Q53" s="23">
        <v>2</v>
      </c>
      <c r="R53" s="23" t="s">
        <v>221</v>
      </c>
      <c r="S53" s="23" t="s">
        <v>44</v>
      </c>
    </row>
    <row r="54" spans="1:19" x14ac:dyDescent="0.2">
      <c r="A54" s="4"/>
      <c r="B54" s="8"/>
      <c r="C54" s="7"/>
      <c r="D54" s="7"/>
      <c r="E54" s="7"/>
      <c r="F54" s="8"/>
      <c r="G54" s="47"/>
      <c r="H54" s="52"/>
      <c r="I54" s="47"/>
      <c r="J54" s="47"/>
      <c r="K54" s="25" t="s">
        <v>53</v>
      </c>
      <c r="L54" s="43" t="s">
        <v>197</v>
      </c>
      <c r="M54" s="24" t="s">
        <v>267</v>
      </c>
      <c r="N54" s="24">
        <v>1</v>
      </c>
      <c r="O54" s="24">
        <v>1</v>
      </c>
      <c r="P54" s="23">
        <f t="shared" si="1"/>
        <v>3</v>
      </c>
      <c r="Q54" s="23">
        <v>2</v>
      </c>
      <c r="R54" s="23" t="s">
        <v>221</v>
      </c>
      <c r="S54" s="23" t="s">
        <v>44</v>
      </c>
    </row>
    <row r="55" spans="1:19" x14ac:dyDescent="0.2">
      <c r="A55" s="4"/>
      <c r="B55" s="8"/>
      <c r="C55" s="7"/>
      <c r="D55" s="7"/>
      <c r="E55" s="7"/>
      <c r="F55" s="8"/>
      <c r="G55" s="47"/>
      <c r="H55" s="52"/>
      <c r="I55" s="47"/>
      <c r="J55" s="47"/>
      <c r="K55" s="25" t="s">
        <v>57</v>
      </c>
      <c r="L55" s="43" t="s">
        <v>198</v>
      </c>
      <c r="M55" s="24" t="s">
        <v>203</v>
      </c>
      <c r="N55" s="24">
        <v>9</v>
      </c>
      <c r="O55" s="24">
        <v>9</v>
      </c>
      <c r="P55" s="23">
        <f t="shared" si="1"/>
        <v>27</v>
      </c>
      <c r="Q55" s="23">
        <v>27</v>
      </c>
      <c r="R55" s="23" t="s">
        <v>222</v>
      </c>
      <c r="S55" s="23" t="s">
        <v>44</v>
      </c>
    </row>
    <row r="56" spans="1:19" x14ac:dyDescent="0.2">
      <c r="A56" s="4"/>
      <c r="B56" s="8"/>
      <c r="C56" s="7"/>
      <c r="D56" s="7"/>
      <c r="E56" s="7"/>
      <c r="F56" s="8"/>
      <c r="G56" s="47"/>
      <c r="H56" s="52"/>
      <c r="I56" s="47"/>
      <c r="J56" s="47"/>
      <c r="K56" s="25" t="s">
        <v>58</v>
      </c>
      <c r="L56" s="43" t="s">
        <v>199</v>
      </c>
      <c r="M56" s="24" t="s">
        <v>204</v>
      </c>
      <c r="N56" s="24">
        <v>9</v>
      </c>
      <c r="O56" s="24">
        <v>9</v>
      </c>
      <c r="P56" s="23">
        <f t="shared" si="1"/>
        <v>27</v>
      </c>
      <c r="Q56" s="23">
        <v>27</v>
      </c>
      <c r="R56" s="23" t="s">
        <v>222</v>
      </c>
      <c r="S56" s="23" t="s">
        <v>44</v>
      </c>
    </row>
    <row r="57" spans="1:19" x14ac:dyDescent="0.2">
      <c r="A57" s="4"/>
      <c r="B57" s="8"/>
      <c r="C57" s="7"/>
      <c r="D57" s="7"/>
      <c r="E57" s="7"/>
      <c r="F57" s="8"/>
      <c r="G57" s="47"/>
      <c r="H57" s="52"/>
      <c r="I57" s="47"/>
      <c r="J57" s="47"/>
      <c r="K57" s="25" t="s">
        <v>64</v>
      </c>
      <c r="L57" s="43" t="s">
        <v>200</v>
      </c>
      <c r="M57" s="24" t="s">
        <v>205</v>
      </c>
      <c r="N57" s="24">
        <v>4</v>
      </c>
      <c r="O57" s="24">
        <v>4</v>
      </c>
      <c r="P57" s="23">
        <f t="shared" si="1"/>
        <v>12</v>
      </c>
      <c r="Q57" s="23">
        <v>1</v>
      </c>
      <c r="R57" s="23" t="s">
        <v>221</v>
      </c>
      <c r="S57" s="23" t="s">
        <v>44</v>
      </c>
    </row>
    <row r="58" spans="1:19" x14ac:dyDescent="0.2">
      <c r="A58" s="4"/>
      <c r="B58" s="8"/>
      <c r="C58" s="7"/>
      <c r="D58" s="7"/>
      <c r="E58" s="7"/>
      <c r="F58" s="8"/>
      <c r="G58" s="47"/>
      <c r="H58" s="52"/>
      <c r="I58" s="47"/>
      <c r="J58" s="47"/>
      <c r="K58" s="25" t="s">
        <v>65</v>
      </c>
      <c r="L58" s="43" t="s">
        <v>201</v>
      </c>
      <c r="M58" s="24" t="s">
        <v>268</v>
      </c>
      <c r="N58" s="24">
        <v>9</v>
      </c>
      <c r="O58" s="24">
        <v>9</v>
      </c>
      <c r="P58" s="23">
        <f t="shared" si="1"/>
        <v>27</v>
      </c>
      <c r="Q58" s="23">
        <v>27</v>
      </c>
      <c r="R58" s="23" t="s">
        <v>222</v>
      </c>
      <c r="S58" s="23" t="s">
        <v>44</v>
      </c>
    </row>
    <row r="59" spans="1:19" x14ac:dyDescent="0.2">
      <c r="A59" s="4"/>
      <c r="B59" s="8"/>
      <c r="C59" s="7"/>
      <c r="D59" s="7"/>
      <c r="E59" s="7"/>
      <c r="F59" s="8"/>
      <c r="G59" s="47"/>
      <c r="H59" s="52"/>
      <c r="I59" s="47"/>
      <c r="J59" s="47"/>
      <c r="K59" s="25" t="s">
        <v>66</v>
      </c>
      <c r="L59" s="43" t="s">
        <v>202</v>
      </c>
      <c r="M59" s="24" t="s">
        <v>70</v>
      </c>
      <c r="N59" s="24">
        <v>9</v>
      </c>
      <c r="O59" s="24">
        <v>9</v>
      </c>
      <c r="P59" s="23">
        <f t="shared" si="1"/>
        <v>27</v>
      </c>
      <c r="Q59" s="23">
        <v>27</v>
      </c>
      <c r="R59" s="23" t="s">
        <v>222</v>
      </c>
      <c r="S59" s="23" t="s">
        <v>44</v>
      </c>
    </row>
    <row r="60" spans="1:19" x14ac:dyDescent="0.2">
      <c r="A60" s="4"/>
      <c r="B60" s="8"/>
      <c r="C60" s="7"/>
      <c r="D60" s="7"/>
      <c r="E60" s="7"/>
      <c r="F60" s="8"/>
      <c r="G60" s="47"/>
      <c r="H60" s="52"/>
      <c r="I60" s="47"/>
      <c r="J60" s="47"/>
      <c r="K60" s="25" t="s">
        <v>67</v>
      </c>
      <c r="L60" s="43" t="s">
        <v>38</v>
      </c>
      <c r="M60" s="24" t="s">
        <v>206</v>
      </c>
      <c r="N60" s="24">
        <v>40</v>
      </c>
      <c r="O60" s="24">
        <v>40</v>
      </c>
      <c r="P60" s="23">
        <f t="shared" si="1"/>
        <v>120</v>
      </c>
      <c r="Q60" s="23">
        <v>120</v>
      </c>
      <c r="R60" s="23" t="s">
        <v>222</v>
      </c>
      <c r="S60" s="23" t="s">
        <v>44</v>
      </c>
    </row>
    <row r="61" spans="1:19" x14ac:dyDescent="0.2">
      <c r="A61" s="4"/>
      <c r="B61" s="8"/>
      <c r="C61" s="7"/>
      <c r="D61" s="7"/>
      <c r="E61" s="7"/>
      <c r="F61" s="8"/>
      <c r="G61" s="48"/>
      <c r="H61" s="53"/>
      <c r="I61" s="48"/>
      <c r="J61" s="48"/>
      <c r="K61" s="25" t="s">
        <v>68</v>
      </c>
      <c r="L61" s="43" t="s">
        <v>85</v>
      </c>
      <c r="M61" s="24" t="s">
        <v>70</v>
      </c>
      <c r="N61" s="24">
        <v>40</v>
      </c>
      <c r="O61" s="24">
        <v>40</v>
      </c>
      <c r="P61" s="23">
        <f t="shared" si="1"/>
        <v>120</v>
      </c>
      <c r="Q61" s="23">
        <v>120</v>
      </c>
      <c r="R61" s="23" t="s">
        <v>222</v>
      </c>
      <c r="S61" s="23" t="s">
        <v>44</v>
      </c>
    </row>
    <row r="62" spans="1:19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25" t="s">
        <v>69</v>
      </c>
      <c r="L62" s="43" t="s">
        <v>200</v>
      </c>
      <c r="M62" s="24" t="s">
        <v>263</v>
      </c>
      <c r="N62" s="24">
        <v>4</v>
      </c>
      <c r="O62" s="24">
        <v>4</v>
      </c>
      <c r="P62" s="23">
        <f t="shared" si="1"/>
        <v>12</v>
      </c>
      <c r="Q62" s="23">
        <v>1.7</v>
      </c>
      <c r="R62" s="23" t="s">
        <v>221</v>
      </c>
      <c r="S62" s="23" t="s">
        <v>44</v>
      </c>
    </row>
  </sheetData>
  <mergeCells count="10">
    <mergeCell ref="A6:B6"/>
    <mergeCell ref="J8:J26"/>
    <mergeCell ref="I8:I26"/>
    <mergeCell ref="H8:H26"/>
    <mergeCell ref="G8:G26"/>
    <mergeCell ref="A41:B41"/>
    <mergeCell ref="G43:G61"/>
    <mergeCell ref="H43:H61"/>
    <mergeCell ref="I43:I61"/>
    <mergeCell ref="J43:J61"/>
  </mergeCells>
  <pageMargins left="0.46195652173913043" right="0.7" top="0.56159420289855078" bottom="0.40760869565217389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Dust Collector</vt:lpstr>
      <vt:lpstr>Vacuum Cleaner</vt:lpstr>
      <vt:lpstr>Drum</vt:lpstr>
      <vt:lpstr>Driven Stand</vt:lpstr>
      <vt:lpstr>Driver Stand</vt:lpstr>
      <vt:lpstr>Drum Frame</vt:lpstr>
      <vt:lpstr>Driving System</vt:lpstr>
      <vt:lpstr>Fan Case</vt:lpstr>
      <vt:lpstr>Damper</vt:lpstr>
      <vt:lpstr>Coil</vt:lpstr>
      <vt:lpstr>Static Water Filter</vt:lpstr>
      <vt:lpstr>Inspection Door</vt:lpstr>
      <vt:lpstr>Ventilation Door</vt:lpstr>
      <vt:lpstr>Nozzle Bank</vt:lpstr>
      <vt:lpstr>Eliminator</vt:lpstr>
      <vt:lpstr>Air Baffle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2019-03-10T12:31:53Z</dcterms:modified>
</cp:coreProperties>
</file>