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4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Q25" i="56" s="1"/>
  <c r="R25" i="56" s="1"/>
  <c r="P24" i="56"/>
  <c r="Q24" i="56" s="1"/>
  <c r="R24" i="56" s="1"/>
  <c r="Q23" i="56"/>
  <c r="R23" i="56" s="1"/>
  <c r="P23" i="56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Q14" i="56"/>
  <c r="R14" i="56" s="1"/>
  <c r="P14" i="56"/>
  <c r="P13" i="56"/>
  <c r="Q13" i="56" s="1"/>
  <c r="R13" i="56" s="1"/>
  <c r="P12" i="56"/>
  <c r="Q12" i="56" s="1"/>
  <c r="R12" i="56" s="1"/>
  <c r="P11" i="56"/>
  <c r="Q11" i="56" s="1"/>
  <c r="R11" i="56" s="1"/>
  <c r="Q10" i="56"/>
  <c r="R10" i="56" s="1"/>
  <c r="P10" i="56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O16" i="55"/>
  <c r="P16" i="55" s="1"/>
  <c r="Q16" i="55" s="1"/>
  <c r="R16" i="55" s="1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G8" i="55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P22" i="54"/>
  <c r="Q22" i="54" s="1"/>
  <c r="R22" i="54" s="1"/>
  <c r="P21" i="54"/>
  <c r="P20" i="54"/>
  <c r="Q20" i="54" s="1"/>
  <c r="R20" i="54" s="1"/>
  <c r="P19" i="54"/>
  <c r="P18" i="54"/>
  <c r="Q18" i="54" s="1"/>
  <c r="P17" i="54"/>
  <c r="Q17" i="54" s="1"/>
  <c r="P16" i="54"/>
  <c r="Q16" i="54" s="1"/>
  <c r="R16" i="54" s="1"/>
  <c r="P15" i="54"/>
  <c r="P14" i="54"/>
  <c r="Q14" i="54" s="1"/>
  <c r="R14" i="54" s="1"/>
  <c r="P13" i="54"/>
  <c r="N13" i="54"/>
  <c r="P12" i="54"/>
  <c r="N12" i="54"/>
  <c r="P11" i="54"/>
  <c r="N11" i="54"/>
  <c r="P10" i="54"/>
  <c r="P9" i="54"/>
  <c r="Q9" i="54" s="1"/>
  <c r="R9" i="54" s="1"/>
  <c r="P8" i="54"/>
  <c r="Q23" i="54"/>
  <c r="R23" i="54" s="1"/>
  <c r="P18" i="53"/>
  <c r="Q18" i="53" s="1"/>
  <c r="R18" i="53" s="1"/>
  <c r="P17" i="53"/>
  <c r="Q17" i="53" s="1"/>
  <c r="R17" i="53" s="1"/>
  <c r="P16" i="53"/>
  <c r="P15" i="53"/>
  <c r="Q15" i="53" s="1"/>
  <c r="R15" i="53" s="1"/>
  <c r="P14" i="53"/>
  <c r="Q14" i="53" s="1"/>
  <c r="R14" i="53" s="1"/>
  <c r="P13" i="53"/>
  <c r="Q13" i="53" s="1"/>
  <c r="R13" i="53" s="1"/>
  <c r="P12" i="53"/>
  <c r="P11" i="53"/>
  <c r="Q11" i="53" s="1"/>
  <c r="R11" i="53" s="1"/>
  <c r="P10" i="53"/>
  <c r="Q10" i="53" s="1"/>
  <c r="N10" i="53"/>
  <c r="P9" i="53"/>
  <c r="Q9" i="53" s="1"/>
  <c r="R9" i="53" s="1"/>
  <c r="P8" i="53"/>
  <c r="Q8" i="53" s="1"/>
  <c r="R8" i="53" s="1"/>
  <c r="G8" i="53"/>
  <c r="R10" i="53"/>
  <c r="P57" i="49"/>
  <c r="Q57" i="49" s="1"/>
  <c r="R57" i="49" s="1"/>
  <c r="N57" i="49"/>
  <c r="P56" i="49"/>
  <c r="Q56" i="49" s="1"/>
  <c r="R56" i="49" s="1"/>
  <c r="P55" i="49"/>
  <c r="Q55" i="49" s="1"/>
  <c r="R55" i="49" s="1"/>
  <c r="G39" i="49"/>
  <c r="K43" i="49" s="1"/>
  <c r="O51" i="49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O39" i="49" l="1"/>
  <c r="P39" i="49" s="1"/>
  <c r="Q39" i="49" s="1"/>
  <c r="R39" i="49" s="1"/>
  <c r="K17" i="56"/>
  <c r="K8" i="56"/>
  <c r="K17" i="55"/>
  <c r="K19" i="55"/>
  <c r="R13" i="55"/>
  <c r="R9" i="55"/>
  <c r="R14" i="55"/>
  <c r="R10" i="55"/>
  <c r="R15" i="55"/>
  <c r="R11" i="55"/>
  <c r="R12" i="55"/>
  <c r="R8" i="55"/>
  <c r="Q11" i="55"/>
  <c r="Q15" i="55"/>
  <c r="Q17" i="55"/>
  <c r="R17" i="55" s="1"/>
  <c r="Q22" i="55"/>
  <c r="R22" i="55" s="1"/>
  <c r="Q8" i="54"/>
  <c r="R8" i="54" s="1"/>
  <c r="Q15" i="54"/>
  <c r="R15" i="54" s="1"/>
  <c r="R17" i="54"/>
  <c r="R18" i="54"/>
  <c r="Q21" i="54"/>
  <c r="R21" i="54" s="1"/>
  <c r="G8" i="54"/>
  <c r="K8" i="54" s="1"/>
  <c r="N17" i="54"/>
  <c r="N18" i="54"/>
  <c r="Q10" i="54"/>
  <c r="R10" i="54" s="1"/>
  <c r="Q11" i="54"/>
  <c r="Q12" i="54"/>
  <c r="Q13" i="54"/>
  <c r="R13" i="54" s="1"/>
  <c r="Q19" i="54"/>
  <c r="R19" i="54" s="1"/>
  <c r="R11" i="54"/>
  <c r="R12" i="54"/>
  <c r="Q12" i="53"/>
  <c r="R12" i="53" s="1"/>
  <c r="Q16" i="53"/>
  <c r="R16" i="53" s="1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0" i="49"/>
  <c r="O43" i="49"/>
  <c r="J8" i="49"/>
  <c r="K20" i="49"/>
  <c r="O15" i="49"/>
  <c r="P15" i="49" s="1"/>
  <c r="Q15" i="49" s="1"/>
  <c r="R15" i="49" s="1"/>
  <c r="K16" i="49"/>
  <c r="R16" i="49"/>
  <c r="N20" i="49"/>
  <c r="R23" i="49"/>
  <c r="N16" i="49"/>
  <c r="N23" i="49"/>
  <c r="O24" i="49"/>
  <c r="O25" i="49"/>
  <c r="P25" i="49" s="1"/>
  <c r="Q25" i="49" s="1"/>
  <c r="R25" i="49" s="1"/>
  <c r="N26" i="49"/>
  <c r="P24" i="49" l="1"/>
  <c r="Q24" i="49" s="1"/>
  <c r="R24" i="49" s="1"/>
  <c r="O46" i="49"/>
  <c r="O54" i="49"/>
  <c r="P54" i="49" s="1"/>
  <c r="Q54" i="49" s="1"/>
  <c r="R54" i="49" s="1"/>
  <c r="O42" i="49"/>
  <c r="P42" i="49" s="1"/>
  <c r="Q42" i="49" s="1"/>
  <c r="R42" i="49" s="1"/>
  <c r="O48" i="49"/>
  <c r="P40" i="49"/>
  <c r="Q40" i="49" s="1"/>
  <c r="R40" i="49" s="1"/>
  <c r="O41" i="49"/>
  <c r="P41" i="49" s="1"/>
  <c r="Q41" i="49" s="1"/>
  <c r="R41" i="49" s="1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46" i="49" l="1"/>
  <c r="Q46" i="49" s="1"/>
  <c r="R46" i="49" s="1"/>
  <c r="O47" i="49"/>
  <c r="P47" i="49" s="1"/>
  <c r="Q47" i="49" s="1"/>
  <c r="R47" i="49" s="1"/>
  <c r="P48" i="49"/>
  <c r="Q48" i="49" s="1"/>
  <c r="R48" i="49" s="1"/>
  <c r="O49" i="49"/>
  <c r="P44" i="49"/>
  <c r="Q44" i="49" s="1"/>
  <c r="R44" i="49" s="1"/>
  <c r="O45" i="49"/>
  <c r="P45" i="49" s="1"/>
  <c r="Q45" i="49" s="1"/>
  <c r="R45" i="49" s="1"/>
  <c r="K18" i="49"/>
  <c r="O18" i="49"/>
  <c r="O50" i="49" l="1"/>
  <c r="P50" i="49" s="1"/>
  <c r="Q50" i="49" s="1"/>
  <c r="R50" i="49" s="1"/>
  <c r="P49" i="49"/>
  <c r="Q49" i="49" s="1"/>
  <c r="R49" i="49" s="1"/>
  <c r="P18" i="49"/>
  <c r="Q18" i="49" s="1"/>
  <c r="R18" i="49" s="1"/>
  <c r="O19" i="49"/>
  <c r="P19" i="49" s="1"/>
  <c r="Q19" i="49" s="1"/>
  <c r="R19" i="49" s="1"/>
</calcChain>
</file>

<file path=xl/sharedStrings.xml><?xml version="1.0" encoding="utf-8"?>
<sst xmlns="http://schemas.openxmlformats.org/spreadsheetml/2006/main" count="730" uniqueCount="239">
  <si>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</si>
  <si>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</si>
  <si>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</si>
  <si>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</si>
  <si>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</si>
  <si>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</si>
  <si>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</si>
  <si>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</si>
  <si>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</si>
  <si>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</si>
  <si>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</si>
  <si>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</si>
  <si>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</si>
  <si>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</si>
  <si>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</si>
  <si>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</si>
  <si>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</si>
  <si>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نوع محصول</t>
  </si>
  <si>
    <t>مقدار خالص</t>
  </si>
  <si>
    <t>واحد</t>
  </si>
  <si>
    <t>درام3400</t>
  </si>
  <si>
    <t>درام5100</t>
  </si>
  <si>
    <t>خار شفت فراموش شده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</si>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</sst>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.35"/>
      <color theme="1"/>
      <name val="Times New Roman"/>
      <family val="1"/>
    </font>
    <font>
      <sz val="11"/>
      <color rgb="FFFF0000"/>
      <name val="Arial"/>
      <family val="2"/>
      <scheme val="minor"/>
    </font>
    <font>
      <sz val="8"/>
      <color rgb="FFFF0000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18" fillId="5" borderId="16" xfId="0" applyFont="1" applyFill="1" applyBorder="1"/>
    <xf numFmtId="0" fontId="18" fillId="5" borderId="17" xfId="0" applyFont="1" applyFill="1" applyBorder="1"/>
    <xf numFmtId="0" fontId="18" fillId="5" borderId="18" xfId="0" applyFont="1" applyFill="1" applyBorder="1"/>
    <xf numFmtId="1" fontId="10" fillId="6" borderId="1" xfId="0" applyNumberFormat="1" applyFont="1" applyFill="1" applyBorder="1" applyAlignment="1">
      <alignment horizontal="center" vertical="center"/>
    </xf>
    <xf numFmtId="1" fontId="10" fillId="6" borderId="11" xfId="0" applyNumberFormat="1" applyFont="1" applyFill="1" applyBorder="1" applyAlignment="1">
      <alignment horizontal="center" vertical="center"/>
    </xf>
    <xf numFmtId="1" fontId="10" fillId="6" borderId="9" xfId="0" applyNumberFormat="1" applyFont="1" applyFill="1" applyBorder="1" applyAlignment="1">
      <alignment horizontal="center" vertical="center"/>
    </xf>
    <xf numFmtId="1" fontId="10" fillId="6" borderId="7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9005277" cy="681651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76471"/>
          <a:ext cx="8318569" cy="816922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2538"/>
          <a:ext cx="9005277" cy="68165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0991117"/>
          <a:ext cx="8318569" cy="821319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9001234" cy="683925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82739"/>
          <a:ext cx="8314274" cy="817781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9011557" cy="670975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788354"/>
          <a:ext cx="8360961" cy="807083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5959929"/>
          <a:ext cx="9011557" cy="670974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005332"/>
          <a:ext cx="8324221" cy="796198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9005277" cy="681651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87790"/>
          <a:ext cx="8318569" cy="821319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9001234" cy="683925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27911"/>
          <a:ext cx="8351389" cy="817781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D35" zoomScale="130" zoomScaleNormal="100" zoomScalePageLayoutView="130" workbookViewId="0">
      <selection activeCell="I43" sqref="I43:I5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173" t="s">
        <v>0</v>
      </c>
      <c r="B6" s="174"/>
      <c r="C6" s="174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4"/>
      <c r="S6" s="54"/>
      <c r="T6" s="15" t="s">
        <v>15</v>
      </c>
    </row>
    <row r="7" spans="1:29" ht="48.95" customHeight="1" x14ac:dyDescent="0.2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9" ht="14.25" customHeight="1" x14ac:dyDescent="0.2">
      <c r="A8" s="175" t="s">
        <v>23</v>
      </c>
      <c r="B8" s="178">
        <v>20</v>
      </c>
      <c r="C8" s="178">
        <v>1</v>
      </c>
      <c r="D8" s="175" t="s">
        <v>24</v>
      </c>
      <c r="E8" s="180">
        <v>5100</v>
      </c>
      <c r="F8" s="192" t="s">
        <v>25</v>
      </c>
      <c r="G8" s="178">
        <f>C8*F8</f>
        <v>1</v>
      </c>
      <c r="H8" s="178" t="s">
        <v>26</v>
      </c>
      <c r="I8" s="195" t="s">
        <v>27</v>
      </c>
      <c r="J8" s="197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78">
        <f>J8*G8</f>
        <v>12</v>
      </c>
      <c r="L8" s="77" t="s">
        <v>25</v>
      </c>
      <c r="M8" s="245" t="s">
        <v>28</v>
      </c>
      <c r="N8" s="137" t="s">
        <v>29</v>
      </c>
      <c r="O8" s="118">
        <f>2*$J$8</f>
        <v>24</v>
      </c>
      <c r="P8" s="118">
        <f>O8*$F$8</f>
        <v>24</v>
      </c>
      <c r="Q8" s="118">
        <f>P8*$C$8</f>
        <v>24</v>
      </c>
      <c r="R8" s="118">
        <f>7*$Q$8</f>
        <v>168</v>
      </c>
      <c r="S8" s="86" t="s">
        <v>30</v>
      </c>
      <c r="T8" s="57"/>
    </row>
    <row r="9" spans="1:29" ht="14.25" customHeight="1" x14ac:dyDescent="0.2">
      <c r="A9" s="176"/>
      <c r="B9" s="171"/>
      <c r="C9" s="171"/>
      <c r="D9" s="176"/>
      <c r="E9" s="181"/>
      <c r="F9" s="193"/>
      <c r="G9" s="171"/>
      <c r="H9" s="171"/>
      <c r="I9" s="195"/>
      <c r="J9" s="198"/>
      <c r="K9" s="171"/>
      <c r="L9" s="77" t="s">
        <v>31</v>
      </c>
      <c r="M9" s="245" t="s">
        <v>32</v>
      </c>
      <c r="N9" s="126" t="s">
        <v>33</v>
      </c>
      <c r="O9" s="118">
        <f t="shared" ref="O9:O10" si="0">2*$J$8</f>
        <v>24</v>
      </c>
      <c r="P9" s="118">
        <f t="shared" ref="P9:P26" si="1">O9*$F$8</f>
        <v>24</v>
      </c>
      <c r="Q9" s="118">
        <f t="shared" ref="Q9:Q26" si="2">P9*$C$8</f>
        <v>24</v>
      </c>
      <c r="R9" s="126">
        <f>7.2*Q9</f>
        <v>172.8</v>
      </c>
      <c r="S9" s="86" t="s">
        <v>30</v>
      </c>
      <c r="T9" s="63"/>
    </row>
    <row r="10" spans="1:29" ht="14.25" customHeight="1" x14ac:dyDescent="0.2">
      <c r="A10" s="176"/>
      <c r="B10" s="171"/>
      <c r="C10" s="171"/>
      <c r="D10" s="176"/>
      <c r="E10" s="181"/>
      <c r="F10" s="193"/>
      <c r="G10" s="171"/>
      <c r="H10" s="171"/>
      <c r="I10" s="195"/>
      <c r="J10" s="198"/>
      <c r="K10" s="171"/>
      <c r="L10" s="77" t="s">
        <v>34</v>
      </c>
      <c r="M10" s="245" t="s">
        <v>35</v>
      </c>
      <c r="N10" s="137" t="s">
        <v>36</v>
      </c>
      <c r="O10" s="118">
        <f t="shared" si="0"/>
        <v>24</v>
      </c>
      <c r="P10" s="118">
        <f t="shared" si="1"/>
        <v>24</v>
      </c>
      <c r="Q10" s="118">
        <f t="shared" si="2"/>
        <v>24</v>
      </c>
      <c r="R10" s="118">
        <f>3.6*Q10</f>
        <v>86.4</v>
      </c>
      <c r="S10" s="86" t="s">
        <v>30</v>
      </c>
      <c r="T10" s="63"/>
    </row>
    <row r="11" spans="1:29" ht="14.25" customHeight="1" thickBot="1" x14ac:dyDescent="0.25">
      <c r="A11" s="176"/>
      <c r="B11" s="171"/>
      <c r="C11" s="171"/>
      <c r="D11" s="176"/>
      <c r="E11" s="181"/>
      <c r="F11" s="193"/>
      <c r="G11" s="171"/>
      <c r="H11" s="172"/>
      <c r="I11" s="196"/>
      <c r="J11" s="199"/>
      <c r="K11" s="172"/>
      <c r="L11" s="78" t="s">
        <v>37</v>
      </c>
      <c r="M11" s="246" t="s">
        <v>38</v>
      </c>
      <c r="N11" s="138" t="s">
        <v>39</v>
      </c>
      <c r="O11" s="139" t="str">
        <f>$J$8</f>
        <v>12</v>
      </c>
      <c r="P11" s="139">
        <f t="shared" si="1"/>
        <v>12</v>
      </c>
      <c r="Q11" s="139">
        <f t="shared" si="2"/>
        <v>12</v>
      </c>
      <c r="R11" s="139">
        <f>1.9*Q11</f>
        <v>22.799999999999997</v>
      </c>
      <c r="S11" s="83" t="s">
        <v>30</v>
      </c>
      <c r="T11" s="72"/>
    </row>
    <row r="12" spans="1:29" ht="14.25" customHeight="1" x14ac:dyDescent="0.2">
      <c r="A12" s="176"/>
      <c r="B12" s="171"/>
      <c r="C12" s="171"/>
      <c r="D12" s="176"/>
      <c r="E12" s="181"/>
      <c r="F12" s="193"/>
      <c r="G12" s="171"/>
      <c r="H12" s="170" t="s">
        <v>40</v>
      </c>
      <c r="I12" s="167" t="s">
        <v>41</v>
      </c>
      <c r="J12" s="170">
        <v>2</v>
      </c>
      <c r="K12" s="170">
        <f>J12*G8</f>
        <v>2</v>
      </c>
      <c r="L12" s="84">
        <v>1</v>
      </c>
      <c r="M12" s="247" t="s">
        <v>42</v>
      </c>
      <c r="N12" s="140" t="s">
        <v>43</v>
      </c>
      <c r="O12" s="141">
        <v>1</v>
      </c>
      <c r="P12" s="141">
        <f t="shared" si="1"/>
        <v>1</v>
      </c>
      <c r="Q12" s="142">
        <f t="shared" si="2"/>
        <v>1</v>
      </c>
      <c r="R12" s="142">
        <f>Q12*5.7</f>
        <v>5.7</v>
      </c>
      <c r="S12" s="85" t="s">
        <v>30</v>
      </c>
      <c r="T12" s="70"/>
      <c r="U12" s="89"/>
      <c r="V12" s="90"/>
      <c r="W12" s="91"/>
      <c r="X12" s="90"/>
      <c r="Y12" s="90"/>
      <c r="Z12" s="90"/>
      <c r="AA12" s="90"/>
      <c r="AB12" s="90"/>
      <c r="AC12" s="92"/>
    </row>
    <row r="13" spans="1:29" ht="14.25" customHeight="1" x14ac:dyDescent="0.2">
      <c r="A13" s="176"/>
      <c r="B13" s="171"/>
      <c r="C13" s="171"/>
      <c r="D13" s="176"/>
      <c r="E13" s="181"/>
      <c r="F13" s="193"/>
      <c r="G13" s="171"/>
      <c r="H13" s="171"/>
      <c r="I13" s="168"/>
      <c r="J13" s="171"/>
      <c r="K13" s="171"/>
      <c r="L13" s="77">
        <v>2</v>
      </c>
      <c r="M13" s="245" t="s">
        <v>44</v>
      </c>
      <c r="N13" s="143" t="s">
        <v>45</v>
      </c>
      <c r="O13" s="118">
        <v>1</v>
      </c>
      <c r="P13" s="118">
        <f t="shared" si="1"/>
        <v>1</v>
      </c>
      <c r="Q13" s="144">
        <f t="shared" si="2"/>
        <v>1</v>
      </c>
      <c r="R13" s="144">
        <f>Q13*6.6</f>
        <v>6.6</v>
      </c>
      <c r="S13" s="86" t="s">
        <v>30</v>
      </c>
      <c r="T13" s="63"/>
      <c r="U13" s="89"/>
      <c r="V13" s="90"/>
      <c r="W13" s="91"/>
      <c r="X13" s="90"/>
      <c r="Y13" s="90"/>
      <c r="Z13" s="93"/>
      <c r="AA13" s="93"/>
      <c r="AB13" s="93"/>
      <c r="AC13" s="92"/>
    </row>
    <row r="14" spans="1:29" ht="14.25" customHeight="1" x14ac:dyDescent="0.2">
      <c r="A14" s="176"/>
      <c r="B14" s="171"/>
      <c r="C14" s="171"/>
      <c r="D14" s="176"/>
      <c r="E14" s="181"/>
      <c r="F14" s="193"/>
      <c r="G14" s="171"/>
      <c r="H14" s="171"/>
      <c r="I14" s="168"/>
      <c r="J14" s="171"/>
      <c r="K14" s="171"/>
      <c r="L14" s="77">
        <v>3</v>
      </c>
      <c r="M14" s="245" t="s">
        <v>46</v>
      </c>
      <c r="N14" s="137" t="s">
        <v>47</v>
      </c>
      <c r="O14" s="137">
        <f>4</f>
        <v>4</v>
      </c>
      <c r="P14" s="137">
        <f t="shared" si="1"/>
        <v>4</v>
      </c>
      <c r="Q14" s="144">
        <f t="shared" si="2"/>
        <v>4</v>
      </c>
      <c r="R14" s="144">
        <f>7.5*Q14</f>
        <v>30</v>
      </c>
      <c r="S14" s="86" t="s">
        <v>30</v>
      </c>
      <c r="T14" s="63"/>
      <c r="U14" s="94"/>
      <c r="V14" s="94"/>
      <c r="W14" s="94"/>
      <c r="X14" s="94"/>
      <c r="Y14" s="94"/>
      <c r="Z14" s="94"/>
      <c r="AA14" s="94"/>
      <c r="AB14" s="94"/>
      <c r="AC14" s="94"/>
    </row>
    <row r="15" spans="1:29" ht="14.25" customHeight="1" thickBot="1" x14ac:dyDescent="0.25">
      <c r="A15" s="176"/>
      <c r="B15" s="171"/>
      <c r="C15" s="171"/>
      <c r="D15" s="176"/>
      <c r="E15" s="181"/>
      <c r="F15" s="193"/>
      <c r="G15" s="171"/>
      <c r="H15" s="172"/>
      <c r="I15" s="169"/>
      <c r="J15" s="172"/>
      <c r="K15" s="172"/>
      <c r="L15" s="78">
        <v>4</v>
      </c>
      <c r="M15" s="246" t="s">
        <v>48</v>
      </c>
      <c r="N15" s="145" t="s">
        <v>49</v>
      </c>
      <c r="O15" s="146" t="str">
        <f>IF(B8=30,"6",IF(B8=25,"5",IF(B8=20,"4",IF(B8=15,"3"))))</f>
        <v>4</v>
      </c>
      <c r="P15" s="111">
        <f t="shared" si="1"/>
        <v>4</v>
      </c>
      <c r="Q15" s="147">
        <f t="shared" si="2"/>
        <v>4</v>
      </c>
      <c r="R15" s="147">
        <f>Q15*0.52</f>
        <v>2.08</v>
      </c>
      <c r="S15" s="83" t="s">
        <v>30</v>
      </c>
      <c r="T15" s="72"/>
      <c r="U15" s="94"/>
      <c r="V15" s="94"/>
      <c r="W15" s="94"/>
      <c r="X15" s="94"/>
      <c r="Y15" s="94"/>
      <c r="Z15" s="94"/>
      <c r="AA15" s="94"/>
      <c r="AB15" s="94"/>
      <c r="AC15" s="94"/>
    </row>
    <row r="16" spans="1:29" ht="14.25" customHeight="1" x14ac:dyDescent="0.2">
      <c r="A16" s="176"/>
      <c r="B16" s="171"/>
      <c r="C16" s="171"/>
      <c r="D16" s="176"/>
      <c r="E16" s="181"/>
      <c r="F16" s="193"/>
      <c r="G16" s="171"/>
      <c r="H16" s="186" t="s">
        <v>24</v>
      </c>
      <c r="I16" s="188" t="s">
        <v>50</v>
      </c>
      <c r="J16" s="186">
        <v>1</v>
      </c>
      <c r="K16" s="186">
        <f>J16*G8</f>
        <v>1</v>
      </c>
      <c r="L16" s="80">
        <v>1</v>
      </c>
      <c r="M16" s="248" t="s">
        <v>51</v>
      </c>
      <c r="N16" s="148" t="str">
        <f>IF(B8=30,"UPN40,L=6600",IF(B8=20,"UPN40,L=4600",IF(B8=25,"UPN40,L=5600",IF(B8=15,"UPN40,L=3600"))))</f>
        <v>UPN40,L=4600</v>
      </c>
      <c r="O16" s="120">
        <v>1</v>
      </c>
      <c r="P16" s="120">
        <f t="shared" si="1"/>
        <v>1</v>
      </c>
      <c r="Q16" s="149">
        <f t="shared" si="2"/>
        <v>1</v>
      </c>
      <c r="R16" s="115">
        <f>(IF(B8=30,"12.4",IF(B8=20,"8.7",IF(B8=25,"10.6",IF(B8=15,"6.8")))))*Q16</f>
        <v>8.6999999999999993</v>
      </c>
      <c r="S16" s="87" t="s">
        <v>30</v>
      </c>
      <c r="T16" s="75"/>
      <c r="U16" s="94"/>
      <c r="V16" s="94"/>
      <c r="W16" s="94"/>
      <c r="X16" s="94"/>
      <c r="Y16" s="94"/>
      <c r="Z16" s="94"/>
      <c r="AA16" s="94"/>
      <c r="AB16" s="94"/>
      <c r="AC16" s="94"/>
    </row>
    <row r="17" spans="1:29" ht="14.25" customHeight="1" thickBot="1" x14ac:dyDescent="0.25">
      <c r="A17" s="176"/>
      <c r="B17" s="171"/>
      <c r="C17" s="171"/>
      <c r="D17" s="176"/>
      <c r="E17" s="181"/>
      <c r="F17" s="193"/>
      <c r="G17" s="171"/>
      <c r="H17" s="187"/>
      <c r="I17" s="189"/>
      <c r="J17" s="187"/>
      <c r="K17" s="187"/>
      <c r="L17" s="78">
        <v>2</v>
      </c>
      <c r="M17" s="246" t="s">
        <v>52</v>
      </c>
      <c r="N17" s="138" t="s">
        <v>53</v>
      </c>
      <c r="O17" s="139">
        <v>6</v>
      </c>
      <c r="P17" s="139">
        <f t="shared" si="1"/>
        <v>6</v>
      </c>
      <c r="Q17" s="147">
        <f t="shared" si="2"/>
        <v>6</v>
      </c>
      <c r="R17" s="147">
        <f>0.1*Q17</f>
        <v>0.60000000000000009</v>
      </c>
      <c r="S17" s="83" t="s">
        <v>30</v>
      </c>
      <c r="T17" s="72"/>
      <c r="U17" s="94"/>
      <c r="V17" s="94"/>
      <c r="W17" s="94"/>
      <c r="X17" s="94"/>
      <c r="Y17" s="94"/>
      <c r="Z17" s="94"/>
      <c r="AA17" s="94"/>
      <c r="AB17" s="94"/>
      <c r="AC17" s="94"/>
    </row>
    <row r="18" spans="1:29" ht="14.25" customHeight="1" x14ac:dyDescent="0.2">
      <c r="A18" s="176"/>
      <c r="B18" s="171"/>
      <c r="C18" s="171"/>
      <c r="D18" s="176"/>
      <c r="E18" s="181"/>
      <c r="F18" s="193"/>
      <c r="G18" s="171"/>
      <c r="H18" s="190" t="s">
        <v>23</v>
      </c>
      <c r="I18" s="170" t="s">
        <v>54</v>
      </c>
      <c r="J18" s="170" t="str">
        <f>J8</f>
        <v>12</v>
      </c>
      <c r="K18" s="170">
        <f>J18*G8</f>
        <v>12</v>
      </c>
      <c r="L18" s="84">
        <v>1</v>
      </c>
      <c r="M18" s="247" t="s">
        <v>55</v>
      </c>
      <c r="N18" s="150" t="s">
        <v>56</v>
      </c>
      <c r="O18" s="141" t="str">
        <f>J18</f>
        <v>12</v>
      </c>
      <c r="P18" s="141">
        <f t="shared" si="1"/>
        <v>12</v>
      </c>
      <c r="Q18" s="141">
        <f t="shared" si="2"/>
        <v>12</v>
      </c>
      <c r="R18" s="141">
        <f>Q18</f>
        <v>12</v>
      </c>
      <c r="S18" s="85" t="s">
        <v>57</v>
      </c>
      <c r="T18" s="70"/>
      <c r="U18" s="89"/>
      <c r="V18" s="91"/>
      <c r="W18" s="91"/>
      <c r="X18" s="95"/>
      <c r="Y18" s="95"/>
      <c r="Z18" s="93"/>
      <c r="AA18" s="93"/>
      <c r="AB18" s="93"/>
      <c r="AC18" s="92"/>
    </row>
    <row r="19" spans="1:29" ht="14.25" customHeight="1" thickBot="1" x14ac:dyDescent="0.25">
      <c r="A19" s="176"/>
      <c r="B19" s="171"/>
      <c r="C19" s="171"/>
      <c r="D19" s="176"/>
      <c r="E19" s="181"/>
      <c r="F19" s="193"/>
      <c r="G19" s="171"/>
      <c r="H19" s="191"/>
      <c r="I19" s="172"/>
      <c r="J19" s="172"/>
      <c r="K19" s="172"/>
      <c r="L19" s="78">
        <v>2</v>
      </c>
      <c r="M19" s="246" t="s">
        <v>58</v>
      </c>
      <c r="N19" s="138" t="s">
        <v>59</v>
      </c>
      <c r="O19" s="139" t="str">
        <f>O18</f>
        <v>12</v>
      </c>
      <c r="P19" s="139">
        <f t="shared" si="1"/>
        <v>12</v>
      </c>
      <c r="Q19" s="139">
        <f t="shared" si="2"/>
        <v>12</v>
      </c>
      <c r="R19" s="139">
        <f>0.8*Q19</f>
        <v>9.6000000000000014</v>
      </c>
      <c r="S19" s="83" t="s">
        <v>30</v>
      </c>
      <c r="T19" s="72"/>
      <c r="U19" s="89"/>
      <c r="V19" s="90"/>
      <c r="W19" s="91"/>
      <c r="X19" s="90"/>
      <c r="Y19" s="90"/>
      <c r="Z19" s="93"/>
      <c r="AA19" s="93"/>
      <c r="AB19" s="93"/>
      <c r="AC19" s="92"/>
    </row>
    <row r="20" spans="1:29" ht="15" customHeight="1" x14ac:dyDescent="0.2">
      <c r="A20" s="176"/>
      <c r="B20" s="171"/>
      <c r="C20" s="171"/>
      <c r="D20" s="176"/>
      <c r="E20" s="181"/>
      <c r="F20" s="193"/>
      <c r="G20" s="171"/>
      <c r="H20" s="190" t="s">
        <v>60</v>
      </c>
      <c r="I20" s="170" t="s">
        <v>61</v>
      </c>
      <c r="J20" s="170" t="str">
        <f>IF(B8=30,"12",IF(B8=25,"10",IF(B8=20,"8",IF(B8=15,"6"))))</f>
        <v>8</v>
      </c>
      <c r="K20" s="170">
        <f>G8*J20</f>
        <v>8</v>
      </c>
      <c r="L20" s="84">
        <v>1</v>
      </c>
      <c r="M20" s="247" t="s">
        <v>62</v>
      </c>
      <c r="N20" s="151" t="str">
        <f>IF(B8=30,"4x162x1415",IF(B8=25,"4x162x1165",IF(B8=20,"4x162x915",IF(B8=15,"4x162x665"))))</f>
        <v>4x162x915</v>
      </c>
      <c r="O20" s="141">
        <f t="shared" ref="O20" si="3">2*$J$8</f>
        <v>24</v>
      </c>
      <c r="P20" s="141">
        <f t="shared" si="1"/>
        <v>24</v>
      </c>
      <c r="Q20" s="141">
        <f t="shared" si="2"/>
        <v>24</v>
      </c>
      <c r="R20" s="151">
        <f>(IF(B8=30,"7.2",IF(B8=25,"5.9",IF(B8=20,"4.6",IF(B8=15,"3.3")))))*Q20</f>
        <v>110.39999999999999</v>
      </c>
      <c r="S20" s="85" t="s">
        <v>30</v>
      </c>
      <c r="T20" s="70"/>
      <c r="U20" s="94"/>
      <c r="V20" s="94"/>
      <c r="W20" s="94"/>
      <c r="X20" s="94"/>
      <c r="Y20" s="94"/>
      <c r="Z20" s="94"/>
      <c r="AA20" s="94"/>
      <c r="AB20" s="94"/>
      <c r="AC20" s="94"/>
    </row>
    <row r="21" spans="1:29" ht="14.25" customHeight="1" thickBot="1" x14ac:dyDescent="0.25">
      <c r="A21" s="176"/>
      <c r="B21" s="171"/>
      <c r="C21" s="171"/>
      <c r="D21" s="176"/>
      <c r="E21" s="181"/>
      <c r="F21" s="193"/>
      <c r="G21" s="171"/>
      <c r="H21" s="191"/>
      <c r="I21" s="172"/>
      <c r="J21" s="172"/>
      <c r="K21" s="172"/>
      <c r="L21" s="78">
        <v>2</v>
      </c>
      <c r="M21" s="246" t="s">
        <v>63</v>
      </c>
      <c r="N21" s="152" t="s">
        <v>64</v>
      </c>
      <c r="O21" s="139">
        <f>2*J20</f>
        <v>16</v>
      </c>
      <c r="P21" s="139">
        <f>O21*F8</f>
        <v>16</v>
      </c>
      <c r="Q21" s="147">
        <f>P21*C8</f>
        <v>16</v>
      </c>
      <c r="R21" s="147">
        <f>0.088*Q21</f>
        <v>1.4079999999999999</v>
      </c>
      <c r="S21" s="83" t="s">
        <v>30</v>
      </c>
      <c r="T21" s="72"/>
      <c r="U21" s="94"/>
      <c r="V21" s="94"/>
      <c r="W21" s="94"/>
      <c r="X21" s="94"/>
      <c r="Y21" s="94"/>
      <c r="Z21" s="94"/>
      <c r="AA21" s="94"/>
      <c r="AB21" s="94"/>
      <c r="AC21" s="94"/>
    </row>
    <row r="22" spans="1:29" ht="14.25" customHeight="1" x14ac:dyDescent="0.2">
      <c r="A22" s="176"/>
      <c r="B22" s="171"/>
      <c r="C22" s="171"/>
      <c r="D22" s="176"/>
      <c r="E22" s="181"/>
      <c r="F22" s="193"/>
      <c r="G22" s="171"/>
      <c r="H22" s="88"/>
      <c r="I22" s="99" t="s">
        <v>65</v>
      </c>
      <c r="J22" s="88"/>
      <c r="K22" s="88"/>
      <c r="L22" s="80">
        <v>1</v>
      </c>
      <c r="M22" s="248" t="s">
        <v>65</v>
      </c>
      <c r="N22" s="153" t="s">
        <v>47</v>
      </c>
      <c r="O22" s="153">
        <f>IF(E8="درام5100",2,0)</f>
        <v>0</v>
      </c>
      <c r="P22" s="117">
        <f>O22*$F$8</f>
        <v>0</v>
      </c>
      <c r="Q22" s="149">
        <f>P22*$C$8</f>
        <v>0</v>
      </c>
      <c r="R22" s="149">
        <f>7.5*Q22</f>
        <v>0</v>
      </c>
      <c r="S22" s="87" t="s">
        <v>30</v>
      </c>
      <c r="T22" s="75"/>
      <c r="U22" s="89"/>
    </row>
    <row r="23" spans="1:29" ht="14.25" customHeight="1" x14ac:dyDescent="0.2">
      <c r="A23" s="176"/>
      <c r="B23" s="171"/>
      <c r="C23" s="171"/>
      <c r="D23" s="176"/>
      <c r="E23" s="181"/>
      <c r="F23" s="193"/>
      <c r="G23" s="171"/>
      <c r="H23" s="97"/>
      <c r="I23" s="62" t="s">
        <v>66</v>
      </c>
      <c r="J23" s="97"/>
      <c r="K23" s="97"/>
      <c r="L23" s="77">
        <v>2</v>
      </c>
      <c r="M23" s="245" t="s">
        <v>66</v>
      </c>
      <c r="N23" s="126" t="str">
        <f>IF(B8=30,"1.5x1000x4000",IF(B8=25,"1.5x1250x2500",IF(B8=20,"1.5x1000x2000",IF(B8=15,"1.5x1000x1500"))))</f>
        <v>1.5x1000x2000</v>
      </c>
      <c r="O23" s="118">
        <v>2</v>
      </c>
      <c r="P23" s="118">
        <f>O23*$F$8</f>
        <v>2</v>
      </c>
      <c r="Q23" s="144">
        <f>P23*$C$8</f>
        <v>2</v>
      </c>
      <c r="R23" s="126">
        <f>(IF(B8=30,"41.6",IF(B8=25,"28.9",IF(B8=20,"18.5",IF(B8=15,"10.4")))))*Q23</f>
        <v>37</v>
      </c>
      <c r="S23" s="86" t="s">
        <v>30</v>
      </c>
      <c r="T23" s="63"/>
      <c r="U23" s="89"/>
    </row>
    <row r="24" spans="1:29" ht="14.25" customHeight="1" x14ac:dyDescent="0.2">
      <c r="A24" s="176"/>
      <c r="B24" s="171"/>
      <c r="C24" s="171"/>
      <c r="D24" s="176"/>
      <c r="E24" s="181"/>
      <c r="F24" s="193"/>
      <c r="G24" s="171"/>
      <c r="H24" s="77" t="s">
        <v>67</v>
      </c>
      <c r="I24" s="62" t="s">
        <v>68</v>
      </c>
      <c r="J24" s="77" t="s">
        <v>67</v>
      </c>
      <c r="K24" s="77" t="s">
        <v>67</v>
      </c>
      <c r="L24" s="77">
        <v>3</v>
      </c>
      <c r="M24" s="245" t="s">
        <v>68</v>
      </c>
      <c r="N24" s="137" t="s">
        <v>69</v>
      </c>
      <c r="O24" s="118" t="str">
        <f>IF((AND(B8=30,E8=3400)),"12",IF((AND(B8=25,E8=3400)),"10",IF((AND(B8=20,E8=3400)),"8",IF((AND(B8=15,E8=3400)),"6",IF((AND(B8=30,E8=5100)),"36",IF((AND(B8=25,E8=5100)),"30",IF((AND(B8=20,E8=5100)),"24",IF((AND(B8=15,E8=5100)),"18"))))))))</f>
        <v>24</v>
      </c>
      <c r="P24" s="118">
        <f t="shared" si="1"/>
        <v>24</v>
      </c>
      <c r="Q24" s="144">
        <f t="shared" si="2"/>
        <v>24</v>
      </c>
      <c r="R24" s="144">
        <f>1.3*Q24</f>
        <v>31.200000000000003</v>
      </c>
      <c r="S24" s="86" t="s">
        <v>30</v>
      </c>
      <c r="T24" s="63"/>
      <c r="U24" s="89"/>
      <c r="V24" s="90"/>
      <c r="W24" s="91"/>
      <c r="X24" s="90"/>
      <c r="Y24" s="90"/>
      <c r="Z24" s="90"/>
      <c r="AA24" s="90"/>
      <c r="AB24" s="90"/>
      <c r="AC24" s="92"/>
    </row>
    <row r="25" spans="1:29" ht="14.25" customHeight="1" x14ac:dyDescent="0.2">
      <c r="A25" s="176"/>
      <c r="B25" s="171"/>
      <c r="C25" s="171"/>
      <c r="D25" s="176"/>
      <c r="E25" s="181"/>
      <c r="F25" s="193"/>
      <c r="G25" s="171"/>
      <c r="H25" s="77" t="s">
        <v>67</v>
      </c>
      <c r="I25" s="62" t="s">
        <v>70</v>
      </c>
      <c r="J25" s="77" t="s">
        <v>67</v>
      </c>
      <c r="K25" s="77" t="s">
        <v>67</v>
      </c>
      <c r="L25" s="77">
        <v>4</v>
      </c>
      <c r="M25" s="245" t="s">
        <v>70</v>
      </c>
      <c r="N25" s="137" t="s">
        <v>71</v>
      </c>
      <c r="O25" s="118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118">
        <f t="shared" si="1"/>
        <v>12</v>
      </c>
      <c r="Q25" s="118">
        <f t="shared" si="2"/>
        <v>12</v>
      </c>
      <c r="R25" s="118">
        <f>2.6*Q25</f>
        <v>31.200000000000003</v>
      </c>
      <c r="S25" s="86" t="s">
        <v>30</v>
      </c>
      <c r="T25" s="63"/>
      <c r="U25" s="89"/>
      <c r="V25" s="90"/>
      <c r="W25" s="91"/>
      <c r="X25" s="90"/>
      <c r="Y25" s="90"/>
      <c r="Z25" s="90"/>
      <c r="AA25" s="90"/>
      <c r="AB25" s="90"/>
      <c r="AC25" s="92"/>
    </row>
    <row r="26" spans="1:29" ht="14.25" customHeight="1" x14ac:dyDescent="0.2">
      <c r="A26" s="177"/>
      <c r="B26" s="179"/>
      <c r="C26" s="179"/>
      <c r="D26" s="177"/>
      <c r="E26" s="182"/>
      <c r="F26" s="194"/>
      <c r="G26" s="179"/>
      <c r="H26" s="77" t="s">
        <v>67</v>
      </c>
      <c r="I26" s="62" t="s">
        <v>72</v>
      </c>
      <c r="J26" s="77" t="s">
        <v>67</v>
      </c>
      <c r="K26" s="77" t="s">
        <v>67</v>
      </c>
      <c r="L26" s="77">
        <v>5</v>
      </c>
      <c r="M26" s="245" t="s">
        <v>72</v>
      </c>
      <c r="N26" s="126" t="str">
        <f>IF(B8=30,"1x32x9600",IF(B8=25,"1x32x8000",IF(B8=20,"1x32x6500",IF(B8=15,"1x32x5000"))))</f>
        <v>1x32x6500</v>
      </c>
      <c r="O26" s="118">
        <f>IF(E8="درام5100",6,4)</f>
        <v>4</v>
      </c>
      <c r="P26" s="118">
        <f t="shared" si="1"/>
        <v>4</v>
      </c>
      <c r="Q26" s="118">
        <f t="shared" si="2"/>
        <v>4</v>
      </c>
      <c r="R26" s="118">
        <f>(IF(B8=30,"2.4",IF(B8=25,"2",IF(B8=20,"1.6",IF(B8=15,"1.2")))))*Q26</f>
        <v>6.4</v>
      </c>
      <c r="S26" s="62" t="s">
        <v>30</v>
      </c>
      <c r="T26" s="76"/>
      <c r="U26" s="89"/>
      <c r="V26" s="90"/>
      <c r="W26" s="91"/>
      <c r="X26" s="90"/>
      <c r="Y26" s="90"/>
      <c r="Z26" s="90"/>
      <c r="AA26" s="90"/>
      <c r="AB26" s="90"/>
      <c r="AC26" s="96"/>
    </row>
    <row r="27" spans="1:29" x14ac:dyDescent="0.2">
      <c r="U27" s="94"/>
      <c r="V27" s="94"/>
      <c r="W27" s="94"/>
      <c r="X27" s="94"/>
      <c r="Y27" s="94"/>
      <c r="Z27" s="94"/>
      <c r="AA27" s="94"/>
      <c r="AB27" s="94"/>
      <c r="AC27" s="94"/>
    </row>
    <row r="28" spans="1:29" ht="15" thickBot="1" x14ac:dyDescent="0.25"/>
    <row r="29" spans="1:29" ht="15" thickBot="1" x14ac:dyDescent="0.25">
      <c r="P29" s="242"/>
      <c r="Q29" s="243"/>
      <c r="R29" s="243"/>
      <c r="S29" s="244"/>
    </row>
    <row r="37" spans="1:20" ht="19.5" x14ac:dyDescent="0.2">
      <c r="A37" s="173" t="s">
        <v>0</v>
      </c>
      <c r="B37" s="174"/>
      <c r="C37" s="174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54"/>
      <c r="S37" s="54"/>
      <c r="T37" s="15" t="s">
        <v>15</v>
      </c>
    </row>
    <row r="38" spans="1:20" ht="50.25" customHeight="1" x14ac:dyDescent="0.2">
      <c r="A38" s="17" t="s">
        <v>2</v>
      </c>
      <c r="B38" s="17" t="s">
        <v>17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18</v>
      </c>
      <c r="S38" s="14" t="s">
        <v>19</v>
      </c>
      <c r="T38" s="3" t="s">
        <v>16</v>
      </c>
    </row>
    <row r="39" spans="1:20" ht="12.95" customHeight="1" x14ac:dyDescent="0.2">
      <c r="A39" s="200" t="s">
        <v>23</v>
      </c>
      <c r="B39" s="183">
        <v>20</v>
      </c>
      <c r="C39" s="200" t="s">
        <v>25</v>
      </c>
      <c r="D39" s="200" t="s">
        <v>24</v>
      </c>
      <c r="E39" s="183">
        <v>5100</v>
      </c>
      <c r="F39" s="192" t="s">
        <v>25</v>
      </c>
      <c r="G39" s="178">
        <f>C39*F39</f>
        <v>1</v>
      </c>
      <c r="H39" s="100" t="s">
        <v>67</v>
      </c>
      <c r="I39" s="62" t="s">
        <v>73</v>
      </c>
      <c r="J39" s="100" t="s">
        <v>67</v>
      </c>
      <c r="K39" s="100" t="s">
        <v>67</v>
      </c>
      <c r="L39" s="77">
        <v>6</v>
      </c>
      <c r="M39" s="245" t="s">
        <v>73</v>
      </c>
      <c r="N39" s="137" t="s">
        <v>67</v>
      </c>
      <c r="O39" s="118">
        <f>O26</f>
        <v>4</v>
      </c>
      <c r="P39" s="118">
        <f>O39*$F$39</f>
        <v>4</v>
      </c>
      <c r="Q39" s="154">
        <f>P39*$C$39</f>
        <v>4</v>
      </c>
      <c r="R39" s="154">
        <f>Q39</f>
        <v>4</v>
      </c>
      <c r="S39" s="102" t="s">
        <v>57</v>
      </c>
      <c r="T39" s="5"/>
    </row>
    <row r="40" spans="1:20" ht="12.95" customHeight="1" x14ac:dyDescent="0.2">
      <c r="A40" s="201"/>
      <c r="B40" s="184"/>
      <c r="C40" s="201"/>
      <c r="D40" s="201"/>
      <c r="E40" s="184"/>
      <c r="F40" s="193"/>
      <c r="G40" s="171"/>
      <c r="H40" s="166" t="s">
        <v>67</v>
      </c>
      <c r="I40" s="81" t="s">
        <v>74</v>
      </c>
      <c r="J40" s="166" t="s">
        <v>67</v>
      </c>
      <c r="K40" s="166" t="s">
        <v>67</v>
      </c>
      <c r="L40" s="80">
        <v>7</v>
      </c>
      <c r="M40" s="248" t="s">
        <v>74</v>
      </c>
      <c r="N40" s="137" t="s">
        <v>75</v>
      </c>
      <c r="O40" s="118">
        <f>O39</f>
        <v>4</v>
      </c>
      <c r="P40" s="118">
        <f t="shared" ref="P40:P57" si="4">O40*$F$39</f>
        <v>4</v>
      </c>
      <c r="Q40" s="149">
        <f t="shared" ref="Q40:Q57" si="5">P40*$C$39</f>
        <v>4</v>
      </c>
      <c r="R40" s="149">
        <f>Q40</f>
        <v>4</v>
      </c>
      <c r="S40" s="87" t="s">
        <v>57</v>
      </c>
      <c r="T40" s="5"/>
    </row>
    <row r="41" spans="1:20" ht="12.95" customHeight="1" x14ac:dyDescent="0.2">
      <c r="A41" s="201"/>
      <c r="B41" s="184"/>
      <c r="C41" s="201"/>
      <c r="D41" s="201"/>
      <c r="E41" s="184"/>
      <c r="F41" s="193"/>
      <c r="G41" s="171"/>
      <c r="H41" s="166" t="s">
        <v>67</v>
      </c>
      <c r="I41" s="62" t="s">
        <v>76</v>
      </c>
      <c r="J41" s="166" t="s">
        <v>67</v>
      </c>
      <c r="K41" s="166" t="s">
        <v>67</v>
      </c>
      <c r="L41" s="77">
        <v>8</v>
      </c>
      <c r="M41" s="245" t="s">
        <v>76</v>
      </c>
      <c r="N41" s="137" t="s">
        <v>75</v>
      </c>
      <c r="O41" s="118">
        <f>O40</f>
        <v>4</v>
      </c>
      <c r="P41" s="118">
        <f t="shared" si="4"/>
        <v>4</v>
      </c>
      <c r="Q41" s="144">
        <f t="shared" si="5"/>
        <v>4</v>
      </c>
      <c r="R41" s="144">
        <f>Q41</f>
        <v>4</v>
      </c>
      <c r="S41" s="86" t="s">
        <v>57</v>
      </c>
      <c r="T41" s="5"/>
    </row>
    <row r="42" spans="1:20" ht="12.95" customHeight="1" thickBot="1" x14ac:dyDescent="0.25">
      <c r="A42" s="201"/>
      <c r="B42" s="184"/>
      <c r="C42" s="201"/>
      <c r="D42" s="201"/>
      <c r="E42" s="184"/>
      <c r="F42" s="193"/>
      <c r="G42" s="171"/>
      <c r="H42" s="82" t="s">
        <v>67</v>
      </c>
      <c r="I42" s="79" t="s">
        <v>77</v>
      </c>
      <c r="J42" s="82" t="s">
        <v>67</v>
      </c>
      <c r="K42" s="82" t="s">
        <v>67</v>
      </c>
      <c r="L42" s="78">
        <v>9</v>
      </c>
      <c r="M42" s="246" t="s">
        <v>77</v>
      </c>
      <c r="N42" s="138" t="s">
        <v>78</v>
      </c>
      <c r="O42" s="139" t="str">
        <f>J8</f>
        <v>12</v>
      </c>
      <c r="P42" s="139">
        <f t="shared" si="4"/>
        <v>12</v>
      </c>
      <c r="Q42" s="147">
        <f t="shared" si="5"/>
        <v>12</v>
      </c>
      <c r="R42" s="147">
        <f>Q42</f>
        <v>12</v>
      </c>
      <c r="S42" s="83" t="s">
        <v>57</v>
      </c>
      <c r="T42" s="37"/>
    </row>
    <row r="43" spans="1:20" ht="12.95" customHeight="1" x14ac:dyDescent="0.2">
      <c r="A43" s="201"/>
      <c r="B43" s="184"/>
      <c r="C43" s="201"/>
      <c r="D43" s="201"/>
      <c r="E43" s="184"/>
      <c r="F43" s="193"/>
      <c r="G43" s="171"/>
      <c r="H43" s="205" t="s">
        <v>79</v>
      </c>
      <c r="I43" s="203" t="s">
        <v>80</v>
      </c>
      <c r="J43" s="203">
        <v>1</v>
      </c>
      <c r="K43" s="203">
        <f>J43*G39</f>
        <v>1</v>
      </c>
      <c r="L43" s="80">
        <v>1</v>
      </c>
      <c r="M43" s="248" t="s">
        <v>81</v>
      </c>
      <c r="N43" s="153" t="s">
        <v>82</v>
      </c>
      <c r="O43" s="115" t="str">
        <f>IF(B39=30,"24",IF(B39=20,"16",IF(B39=25,"20",IF(B39=15,"12"))))</f>
        <v>16</v>
      </c>
      <c r="P43" s="120">
        <f t="shared" si="4"/>
        <v>16</v>
      </c>
      <c r="Q43" s="149">
        <f t="shared" si="5"/>
        <v>16</v>
      </c>
      <c r="R43" s="149">
        <f t="shared" ref="R43:R56" si="6">Q43</f>
        <v>16</v>
      </c>
      <c r="S43" s="87" t="s">
        <v>57</v>
      </c>
      <c r="T43" s="16"/>
    </row>
    <row r="44" spans="1:20" ht="12.95" customHeight="1" x14ac:dyDescent="0.2">
      <c r="A44" s="201"/>
      <c r="B44" s="184"/>
      <c r="C44" s="201"/>
      <c r="D44" s="201"/>
      <c r="E44" s="184"/>
      <c r="F44" s="193"/>
      <c r="G44" s="171"/>
      <c r="H44" s="205"/>
      <c r="I44" s="203"/>
      <c r="J44" s="203"/>
      <c r="K44" s="203"/>
      <c r="L44" s="77">
        <v>2</v>
      </c>
      <c r="M44" s="245" t="s">
        <v>83</v>
      </c>
      <c r="N44" s="137" t="s">
        <v>84</v>
      </c>
      <c r="O44" s="118" t="str">
        <f>O43</f>
        <v>16</v>
      </c>
      <c r="P44" s="118">
        <f t="shared" si="4"/>
        <v>16</v>
      </c>
      <c r="Q44" s="144">
        <f t="shared" si="5"/>
        <v>16</v>
      </c>
      <c r="R44" s="144">
        <f t="shared" si="6"/>
        <v>16</v>
      </c>
      <c r="S44" s="86" t="s">
        <v>57</v>
      </c>
      <c r="T44" s="5"/>
    </row>
    <row r="45" spans="1:20" ht="12.95" customHeight="1" x14ac:dyDescent="0.2">
      <c r="A45" s="201"/>
      <c r="B45" s="184"/>
      <c r="C45" s="201"/>
      <c r="D45" s="201"/>
      <c r="E45" s="184"/>
      <c r="F45" s="193"/>
      <c r="G45" s="171"/>
      <c r="H45" s="205"/>
      <c r="I45" s="203"/>
      <c r="J45" s="203"/>
      <c r="K45" s="203"/>
      <c r="L45" s="80">
        <v>3</v>
      </c>
      <c r="M45" s="245" t="s">
        <v>85</v>
      </c>
      <c r="N45" s="137" t="s">
        <v>86</v>
      </c>
      <c r="O45" s="118" t="str">
        <f>O44</f>
        <v>16</v>
      </c>
      <c r="P45" s="118">
        <f t="shared" si="4"/>
        <v>16</v>
      </c>
      <c r="Q45" s="155">
        <f t="shared" si="5"/>
        <v>16</v>
      </c>
      <c r="R45" s="155">
        <f t="shared" si="6"/>
        <v>16</v>
      </c>
      <c r="S45" s="101" t="s">
        <v>57</v>
      </c>
      <c r="T45" s="5"/>
    </row>
    <row r="46" spans="1:20" ht="12.95" customHeight="1" x14ac:dyDescent="0.2">
      <c r="A46" s="201"/>
      <c r="B46" s="184"/>
      <c r="C46" s="201"/>
      <c r="D46" s="201"/>
      <c r="E46" s="184"/>
      <c r="F46" s="193"/>
      <c r="G46" s="171"/>
      <c r="H46" s="205"/>
      <c r="I46" s="203"/>
      <c r="J46" s="203"/>
      <c r="K46" s="203"/>
      <c r="L46" s="77">
        <v>4</v>
      </c>
      <c r="M46" s="248" t="s">
        <v>87</v>
      </c>
      <c r="N46" s="153" t="s">
        <v>88</v>
      </c>
      <c r="O46" s="120" t="str">
        <f>O24</f>
        <v>24</v>
      </c>
      <c r="P46" s="120">
        <f t="shared" si="4"/>
        <v>24</v>
      </c>
      <c r="Q46" s="144">
        <f t="shared" si="5"/>
        <v>24</v>
      </c>
      <c r="R46" s="144">
        <f t="shared" si="6"/>
        <v>24</v>
      </c>
      <c r="S46" s="86" t="s">
        <v>57</v>
      </c>
      <c r="T46" s="5"/>
    </row>
    <row r="47" spans="1:20" ht="12.95" customHeight="1" x14ac:dyDescent="0.2">
      <c r="A47" s="201"/>
      <c r="B47" s="184"/>
      <c r="C47" s="201"/>
      <c r="D47" s="201"/>
      <c r="E47" s="184"/>
      <c r="F47" s="193"/>
      <c r="G47" s="171"/>
      <c r="H47" s="205"/>
      <c r="I47" s="203"/>
      <c r="J47" s="203"/>
      <c r="K47" s="203"/>
      <c r="L47" s="80">
        <v>5</v>
      </c>
      <c r="M47" s="245" t="s">
        <v>89</v>
      </c>
      <c r="N47" s="137" t="s">
        <v>90</v>
      </c>
      <c r="O47" s="118" t="str">
        <f>O46</f>
        <v>24</v>
      </c>
      <c r="P47" s="118">
        <f t="shared" si="4"/>
        <v>24</v>
      </c>
      <c r="Q47" s="149">
        <f t="shared" si="5"/>
        <v>24</v>
      </c>
      <c r="R47" s="149">
        <f t="shared" si="6"/>
        <v>24</v>
      </c>
      <c r="S47" s="87" t="s">
        <v>57</v>
      </c>
      <c r="T47" s="5"/>
    </row>
    <row r="48" spans="1:20" ht="12.95" customHeight="1" x14ac:dyDescent="0.2">
      <c r="A48" s="201"/>
      <c r="B48" s="184"/>
      <c r="C48" s="201"/>
      <c r="D48" s="201"/>
      <c r="E48" s="184"/>
      <c r="F48" s="193"/>
      <c r="G48" s="171"/>
      <c r="H48" s="205"/>
      <c r="I48" s="203"/>
      <c r="J48" s="203"/>
      <c r="K48" s="203"/>
      <c r="L48" s="77">
        <v>6</v>
      </c>
      <c r="M48" s="245" t="s">
        <v>91</v>
      </c>
      <c r="N48" s="137" t="s">
        <v>92</v>
      </c>
      <c r="O48" s="118">
        <f>J8*11</f>
        <v>132</v>
      </c>
      <c r="P48" s="118">
        <f t="shared" si="4"/>
        <v>132</v>
      </c>
      <c r="Q48" s="149">
        <f t="shared" si="5"/>
        <v>132</v>
      </c>
      <c r="R48" s="149">
        <f t="shared" si="6"/>
        <v>132</v>
      </c>
      <c r="S48" s="87" t="s">
        <v>57</v>
      </c>
      <c r="T48" s="5"/>
    </row>
    <row r="49" spans="1:20" ht="12.95" customHeight="1" x14ac:dyDescent="0.2">
      <c r="A49" s="201"/>
      <c r="B49" s="184"/>
      <c r="C49" s="201"/>
      <c r="D49" s="201"/>
      <c r="E49" s="184"/>
      <c r="F49" s="193"/>
      <c r="G49" s="171"/>
      <c r="H49" s="205"/>
      <c r="I49" s="203"/>
      <c r="J49" s="203"/>
      <c r="K49" s="203"/>
      <c r="L49" s="80">
        <v>7</v>
      </c>
      <c r="M49" s="245" t="s">
        <v>93</v>
      </c>
      <c r="N49" s="137" t="s">
        <v>90</v>
      </c>
      <c r="O49" s="118">
        <f>O48</f>
        <v>132</v>
      </c>
      <c r="P49" s="118">
        <f t="shared" si="4"/>
        <v>132</v>
      </c>
      <c r="Q49" s="144">
        <f t="shared" si="5"/>
        <v>132</v>
      </c>
      <c r="R49" s="144">
        <f t="shared" si="6"/>
        <v>132</v>
      </c>
      <c r="S49" s="86" t="s">
        <v>57</v>
      </c>
      <c r="T49" s="5"/>
    </row>
    <row r="50" spans="1:20" ht="12.95" customHeight="1" x14ac:dyDescent="0.2">
      <c r="A50" s="201"/>
      <c r="B50" s="184"/>
      <c r="C50" s="201"/>
      <c r="D50" s="201"/>
      <c r="E50" s="184"/>
      <c r="F50" s="193"/>
      <c r="G50" s="171"/>
      <c r="H50" s="205"/>
      <c r="I50" s="203"/>
      <c r="J50" s="203"/>
      <c r="K50" s="203"/>
      <c r="L50" s="77">
        <v>8</v>
      </c>
      <c r="M50" s="245" t="s">
        <v>94</v>
      </c>
      <c r="N50" s="137" t="s">
        <v>95</v>
      </c>
      <c r="O50" s="118">
        <f>O49</f>
        <v>132</v>
      </c>
      <c r="P50" s="118">
        <f t="shared" si="4"/>
        <v>132</v>
      </c>
      <c r="Q50" s="144">
        <f t="shared" si="5"/>
        <v>132</v>
      </c>
      <c r="R50" s="144">
        <f t="shared" si="6"/>
        <v>132</v>
      </c>
      <c r="S50" s="86" t="s">
        <v>57</v>
      </c>
      <c r="T50" s="5"/>
    </row>
    <row r="51" spans="1:20" ht="12.95" customHeight="1" x14ac:dyDescent="0.2">
      <c r="A51" s="201"/>
      <c r="B51" s="184"/>
      <c r="C51" s="201"/>
      <c r="D51" s="201"/>
      <c r="E51" s="184"/>
      <c r="F51" s="193"/>
      <c r="G51" s="171"/>
      <c r="H51" s="205"/>
      <c r="I51" s="203"/>
      <c r="J51" s="203"/>
      <c r="K51" s="203"/>
      <c r="L51" s="80">
        <v>9</v>
      </c>
      <c r="M51" s="245" t="s">
        <v>96</v>
      </c>
      <c r="N51" s="137" t="s">
        <v>97</v>
      </c>
      <c r="O51" s="118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64</v>
      </c>
      <c r="P51" s="118">
        <f t="shared" si="4"/>
        <v>64</v>
      </c>
      <c r="Q51" s="144">
        <f t="shared" si="5"/>
        <v>64</v>
      </c>
      <c r="R51" s="144">
        <f t="shared" si="6"/>
        <v>64</v>
      </c>
      <c r="S51" s="86" t="s">
        <v>57</v>
      </c>
      <c r="T51" s="5"/>
    </row>
    <row r="52" spans="1:20" ht="12.95" customHeight="1" x14ac:dyDescent="0.2">
      <c r="A52" s="201"/>
      <c r="B52" s="184"/>
      <c r="C52" s="201"/>
      <c r="D52" s="201"/>
      <c r="E52" s="184"/>
      <c r="F52" s="193"/>
      <c r="G52" s="171"/>
      <c r="H52" s="205"/>
      <c r="I52" s="203"/>
      <c r="J52" s="203"/>
      <c r="K52" s="203"/>
      <c r="L52" s="77">
        <v>10</v>
      </c>
      <c r="M52" s="245" t="s">
        <v>98</v>
      </c>
      <c r="N52" s="137" t="s">
        <v>99</v>
      </c>
      <c r="O52" s="118" t="str">
        <f>O51</f>
        <v>64</v>
      </c>
      <c r="P52" s="118">
        <f t="shared" si="4"/>
        <v>64</v>
      </c>
      <c r="Q52" s="144">
        <f t="shared" si="5"/>
        <v>64</v>
      </c>
      <c r="R52" s="144">
        <f t="shared" si="6"/>
        <v>64</v>
      </c>
      <c r="S52" s="86" t="s">
        <v>57</v>
      </c>
      <c r="T52" s="5"/>
    </row>
    <row r="53" spans="1:20" ht="12.95" customHeight="1" x14ac:dyDescent="0.2">
      <c r="A53" s="201"/>
      <c r="B53" s="184"/>
      <c r="C53" s="201"/>
      <c r="D53" s="201"/>
      <c r="E53" s="184"/>
      <c r="F53" s="193"/>
      <c r="G53" s="171"/>
      <c r="H53" s="205"/>
      <c r="I53" s="203"/>
      <c r="J53" s="203"/>
      <c r="K53" s="203"/>
      <c r="L53" s="80">
        <v>11</v>
      </c>
      <c r="M53" s="245" t="s">
        <v>100</v>
      </c>
      <c r="N53" s="137" t="s">
        <v>101</v>
      </c>
      <c r="O53" s="118" t="str">
        <f>O51</f>
        <v>64</v>
      </c>
      <c r="P53" s="118">
        <f t="shared" si="4"/>
        <v>64</v>
      </c>
      <c r="Q53" s="107">
        <f t="shared" si="5"/>
        <v>64</v>
      </c>
      <c r="R53" s="107">
        <f t="shared" si="6"/>
        <v>64</v>
      </c>
      <c r="S53" s="71" t="s">
        <v>57</v>
      </c>
      <c r="T53" s="5"/>
    </row>
    <row r="54" spans="1:20" ht="12.95" customHeight="1" x14ac:dyDescent="0.2">
      <c r="A54" s="201"/>
      <c r="B54" s="184"/>
      <c r="C54" s="201"/>
      <c r="D54" s="201"/>
      <c r="E54" s="184"/>
      <c r="F54" s="193"/>
      <c r="G54" s="171"/>
      <c r="H54" s="205"/>
      <c r="I54" s="203"/>
      <c r="J54" s="203"/>
      <c r="K54" s="203"/>
      <c r="L54" s="77">
        <v>12</v>
      </c>
      <c r="M54" s="245" t="s">
        <v>102</v>
      </c>
      <c r="N54" s="137" t="s">
        <v>103</v>
      </c>
      <c r="O54" s="118">
        <f>J8*7</f>
        <v>84</v>
      </c>
      <c r="P54" s="107">
        <f t="shared" si="4"/>
        <v>84</v>
      </c>
      <c r="Q54" s="144">
        <f t="shared" si="5"/>
        <v>84</v>
      </c>
      <c r="R54" s="144">
        <f t="shared" si="6"/>
        <v>84</v>
      </c>
      <c r="S54" s="86" t="s">
        <v>57</v>
      </c>
      <c r="T54" s="103"/>
    </row>
    <row r="55" spans="1:20" ht="12.95" customHeight="1" x14ac:dyDescent="0.2">
      <c r="A55" s="201"/>
      <c r="B55" s="184"/>
      <c r="C55" s="201"/>
      <c r="D55" s="201"/>
      <c r="E55" s="184"/>
      <c r="F55" s="193"/>
      <c r="G55" s="171"/>
      <c r="H55" s="205"/>
      <c r="I55" s="203"/>
      <c r="J55" s="203"/>
      <c r="K55" s="203"/>
      <c r="L55" s="80">
        <v>13</v>
      </c>
      <c r="M55" s="245" t="s">
        <v>104</v>
      </c>
      <c r="N55" s="137" t="s">
        <v>92</v>
      </c>
      <c r="O55" s="118">
        <v>4</v>
      </c>
      <c r="P55" s="118">
        <f t="shared" si="4"/>
        <v>4</v>
      </c>
      <c r="Q55" s="144">
        <f t="shared" si="5"/>
        <v>4</v>
      </c>
      <c r="R55" s="144">
        <f t="shared" si="6"/>
        <v>4</v>
      </c>
      <c r="S55" s="86" t="s">
        <v>57</v>
      </c>
      <c r="T55" s="103"/>
    </row>
    <row r="56" spans="1:20" ht="12.95" customHeight="1" x14ac:dyDescent="0.2">
      <c r="A56" s="201"/>
      <c r="B56" s="184"/>
      <c r="C56" s="201"/>
      <c r="D56" s="201"/>
      <c r="E56" s="184"/>
      <c r="F56" s="193"/>
      <c r="G56" s="171"/>
      <c r="H56" s="205"/>
      <c r="I56" s="203"/>
      <c r="J56" s="203"/>
      <c r="K56" s="203"/>
      <c r="L56" s="77">
        <v>14</v>
      </c>
      <c r="M56" s="245" t="s">
        <v>105</v>
      </c>
      <c r="N56" s="137" t="s">
        <v>106</v>
      </c>
      <c r="O56" s="118">
        <v>4</v>
      </c>
      <c r="P56" s="118">
        <f t="shared" si="4"/>
        <v>4</v>
      </c>
      <c r="Q56" s="144">
        <f t="shared" si="5"/>
        <v>4</v>
      </c>
      <c r="R56" s="144">
        <f t="shared" si="6"/>
        <v>4</v>
      </c>
      <c r="S56" s="86" t="s">
        <v>57</v>
      </c>
      <c r="T56" s="103"/>
    </row>
    <row r="57" spans="1:20" ht="12.95" customHeight="1" x14ac:dyDescent="0.2">
      <c r="A57" s="202"/>
      <c r="B57" s="185"/>
      <c r="C57" s="202"/>
      <c r="D57" s="202"/>
      <c r="E57" s="185"/>
      <c r="F57" s="194"/>
      <c r="G57" s="179"/>
      <c r="H57" s="206"/>
      <c r="I57" s="204"/>
      <c r="J57" s="204"/>
      <c r="K57" s="204"/>
      <c r="L57" s="80">
        <v>15</v>
      </c>
      <c r="M57" s="245" t="s">
        <v>107</v>
      </c>
      <c r="N57" s="126" t="str">
        <f>IF(B8=30,"3x150x10000",IF(B8=25,"3x150x8500",IF(B8=20,"3x150x7000",IF(B8=15,"3x150x5500"))))</f>
        <v>3x150x7000</v>
      </c>
      <c r="O57" s="118">
        <v>1</v>
      </c>
      <c r="P57" s="118">
        <f t="shared" si="4"/>
        <v>1</v>
      </c>
      <c r="Q57" s="144">
        <f t="shared" si="5"/>
        <v>1</v>
      </c>
      <c r="R57" s="126">
        <f>IF(B8=30,"6.75",IF(B8=25,"5.73",IF(B8=20,"4.72",IF(B8=15,"3.71"))))*Q57</f>
        <v>4.72</v>
      </c>
      <c r="S57" s="86" t="s">
        <v>30</v>
      </c>
      <c r="T57" s="103"/>
    </row>
    <row r="72" spans="1:1" hidden="1" x14ac:dyDescent="0.2">
      <c r="A72" t="s">
        <v>20</v>
      </c>
    </row>
    <row r="73" spans="1:1" hidden="1" x14ac:dyDescent="0.2">
      <c r="A73" t="s">
        <v>21</v>
      </c>
    </row>
  </sheetData>
  <mergeCells count="40">
    <mergeCell ref="F39:F57"/>
    <mergeCell ref="G39:G57"/>
    <mergeCell ref="H43:H57"/>
    <mergeCell ref="I43:I57"/>
    <mergeCell ref="J43:J57"/>
    <mergeCell ref="K43:K57"/>
    <mergeCell ref="H20:H21"/>
    <mergeCell ref="I20:I21"/>
    <mergeCell ref="J20:J21"/>
    <mergeCell ref="K20:K21"/>
    <mergeCell ref="A37:C37"/>
    <mergeCell ref="A39:A57"/>
    <mergeCell ref="B39:B57"/>
    <mergeCell ref="C39:C57"/>
    <mergeCell ref="D39:D57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E13" zoomScale="145" zoomScaleNormal="100" zoomScalePageLayoutView="145" workbookViewId="0">
      <selection activeCell="M17" sqref="M17:M18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73" t="s">
        <v>0</v>
      </c>
      <c r="B6" s="174"/>
      <c r="C6" s="174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4"/>
      <c r="S6" s="54"/>
      <c r="T6" s="15" t="s">
        <v>15</v>
      </c>
    </row>
    <row r="7" spans="1:20" ht="49.15" customHeight="1" x14ac:dyDescent="0.2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4.25" customHeight="1" x14ac:dyDescent="0.2">
      <c r="A8" s="208" t="s">
        <v>23</v>
      </c>
      <c r="B8" s="211">
        <v>20</v>
      </c>
      <c r="C8" s="178">
        <v>1</v>
      </c>
      <c r="D8" s="214" t="s">
        <v>26</v>
      </c>
      <c r="E8" s="207" t="s">
        <v>108</v>
      </c>
      <c r="F8" s="216" t="s">
        <v>25</v>
      </c>
      <c r="G8" s="218">
        <f>F8*C8</f>
        <v>1</v>
      </c>
      <c r="H8" s="214" t="s">
        <v>26</v>
      </c>
      <c r="I8" s="214" t="s">
        <v>108</v>
      </c>
      <c r="J8" s="214">
        <v>1</v>
      </c>
      <c r="K8" s="214">
        <v>2</v>
      </c>
      <c r="L8" s="162" t="s">
        <v>25</v>
      </c>
      <c r="M8" s="249" t="s">
        <v>109</v>
      </c>
      <c r="N8" s="128" t="s">
        <v>110</v>
      </c>
      <c r="O8" s="129">
        <v>1</v>
      </c>
      <c r="P8" s="130">
        <f>O8*$F$8</f>
        <v>1</v>
      </c>
      <c r="Q8" s="130">
        <f>P8*$C$8</f>
        <v>1</v>
      </c>
      <c r="R8" s="130">
        <f>Q8*5.5</f>
        <v>5.5</v>
      </c>
      <c r="S8" s="7" t="s">
        <v>30</v>
      </c>
      <c r="T8" s="5"/>
    </row>
    <row r="9" spans="1:20" ht="14.25" customHeight="1" x14ac:dyDescent="0.2">
      <c r="A9" s="209"/>
      <c r="B9" s="212"/>
      <c r="C9" s="171"/>
      <c r="D9" s="214"/>
      <c r="E9" s="207"/>
      <c r="F9" s="216"/>
      <c r="G9" s="219"/>
      <c r="H9" s="214"/>
      <c r="I9" s="214"/>
      <c r="J9" s="214"/>
      <c r="K9" s="214"/>
      <c r="L9" s="162" t="s">
        <v>31</v>
      </c>
      <c r="M9" s="249" t="s">
        <v>111</v>
      </c>
      <c r="N9" s="128" t="s">
        <v>112</v>
      </c>
      <c r="O9" s="129">
        <v>1</v>
      </c>
      <c r="P9" s="130">
        <f t="shared" ref="P9:P18" si="0">O9*$F$8</f>
        <v>1</v>
      </c>
      <c r="Q9" s="129">
        <f t="shared" ref="Q9:Q18" si="1">P9*$C$8</f>
        <v>1</v>
      </c>
      <c r="R9" s="129">
        <f>15.19*Q9</f>
        <v>15.19</v>
      </c>
      <c r="S9" s="7" t="s">
        <v>30</v>
      </c>
      <c r="T9" s="5"/>
    </row>
    <row r="10" spans="1:20" ht="14.25" customHeight="1" x14ac:dyDescent="0.2">
      <c r="A10" s="209"/>
      <c r="B10" s="212"/>
      <c r="C10" s="171"/>
      <c r="D10" s="214"/>
      <c r="E10" s="207"/>
      <c r="F10" s="216"/>
      <c r="G10" s="219"/>
      <c r="H10" s="214"/>
      <c r="I10" s="214"/>
      <c r="J10" s="214"/>
      <c r="K10" s="214"/>
      <c r="L10" s="162" t="s">
        <v>34</v>
      </c>
      <c r="M10" s="249" t="s">
        <v>113</v>
      </c>
      <c r="N10" s="126" t="str">
        <f>IF(B8=30,"4x234x1648",IF(B8=20,"4x234x1192",IF(B8=25,"4x234x1420",IF(B8=15,"4x234x964"))))</f>
        <v>4x234x1192</v>
      </c>
      <c r="O10" s="129">
        <v>2</v>
      </c>
      <c r="P10" s="129">
        <f t="shared" si="0"/>
        <v>2</v>
      </c>
      <c r="Q10" s="129">
        <f t="shared" si="1"/>
        <v>2</v>
      </c>
      <c r="R10" s="115">
        <f>(IF(B8=30,"12.1",IF(B8=20,"8.75",IF(B8=25,"10.42",IF(B8=15,"7")))))*Q10</f>
        <v>17.5</v>
      </c>
      <c r="S10" s="7" t="s">
        <v>30</v>
      </c>
      <c r="T10" s="5"/>
    </row>
    <row r="11" spans="1:20" ht="14.25" customHeight="1" thickBot="1" x14ac:dyDescent="0.25">
      <c r="A11" s="209"/>
      <c r="B11" s="212"/>
      <c r="C11" s="171"/>
      <c r="D11" s="214"/>
      <c r="E11" s="207"/>
      <c r="F11" s="216"/>
      <c r="G11" s="219"/>
      <c r="H11" s="215"/>
      <c r="I11" s="215"/>
      <c r="J11" s="215"/>
      <c r="K11" s="215"/>
      <c r="L11" s="164" t="s">
        <v>37</v>
      </c>
      <c r="M11" s="251" t="s">
        <v>114</v>
      </c>
      <c r="N11" s="131" t="s">
        <v>115</v>
      </c>
      <c r="O11" s="132">
        <v>4</v>
      </c>
      <c r="P11" s="132">
        <f t="shared" si="0"/>
        <v>4</v>
      </c>
      <c r="Q11" s="132">
        <f t="shared" si="1"/>
        <v>4</v>
      </c>
      <c r="R11" s="132">
        <f>0.75*Q11</f>
        <v>3</v>
      </c>
      <c r="S11" s="21" t="s">
        <v>30</v>
      </c>
      <c r="T11" s="37"/>
    </row>
    <row r="12" spans="1:20" ht="14.25" customHeight="1" thickBot="1" x14ac:dyDescent="0.25">
      <c r="A12" s="209"/>
      <c r="B12" s="212"/>
      <c r="C12" s="171"/>
      <c r="D12" s="214"/>
      <c r="E12" s="207"/>
      <c r="F12" s="216"/>
      <c r="G12" s="219"/>
      <c r="H12" s="42" t="s">
        <v>67</v>
      </c>
      <c r="I12" s="42" t="s">
        <v>116</v>
      </c>
      <c r="J12" s="42">
        <v>1</v>
      </c>
      <c r="K12" s="42">
        <v>2</v>
      </c>
      <c r="L12" s="29" t="s">
        <v>25</v>
      </c>
      <c r="M12" s="253" t="s">
        <v>116</v>
      </c>
      <c r="N12" s="133" t="s">
        <v>117</v>
      </c>
      <c r="O12" s="134">
        <v>1</v>
      </c>
      <c r="P12" s="134">
        <f t="shared" si="0"/>
        <v>1</v>
      </c>
      <c r="Q12" s="134">
        <f t="shared" si="1"/>
        <v>1</v>
      </c>
      <c r="R12" s="134">
        <f>Q12</f>
        <v>1</v>
      </c>
      <c r="S12" s="30" t="s">
        <v>57</v>
      </c>
      <c r="T12" s="43"/>
    </row>
    <row r="13" spans="1:20" ht="14.25" customHeight="1" x14ac:dyDescent="0.2">
      <c r="A13" s="209"/>
      <c r="B13" s="212"/>
      <c r="C13" s="171"/>
      <c r="D13" s="214"/>
      <c r="E13" s="207"/>
      <c r="F13" s="216"/>
      <c r="G13" s="219"/>
      <c r="H13" s="194" t="s">
        <v>40</v>
      </c>
      <c r="I13" s="217" t="s">
        <v>80</v>
      </c>
      <c r="J13" s="194">
        <v>1</v>
      </c>
      <c r="K13" s="194">
        <v>2</v>
      </c>
      <c r="L13" s="158" t="s">
        <v>25</v>
      </c>
      <c r="M13" s="258" t="s">
        <v>118</v>
      </c>
      <c r="N13" s="135" t="s">
        <v>119</v>
      </c>
      <c r="O13" s="136">
        <v>2</v>
      </c>
      <c r="P13" s="136">
        <f t="shared" si="0"/>
        <v>2</v>
      </c>
      <c r="Q13" s="136">
        <f t="shared" si="1"/>
        <v>2</v>
      </c>
      <c r="R13" s="136">
        <f t="shared" ref="R13:R18" si="2">Q13</f>
        <v>2</v>
      </c>
      <c r="S13" s="18" t="s">
        <v>57</v>
      </c>
      <c r="T13" s="16"/>
    </row>
    <row r="14" spans="1:20" ht="14.25" customHeight="1" x14ac:dyDescent="0.2">
      <c r="A14" s="209"/>
      <c r="B14" s="212"/>
      <c r="C14" s="171"/>
      <c r="D14" s="214"/>
      <c r="E14" s="207"/>
      <c r="F14" s="216"/>
      <c r="G14" s="219"/>
      <c r="H14" s="216"/>
      <c r="I14" s="207"/>
      <c r="J14" s="216"/>
      <c r="K14" s="216"/>
      <c r="L14" s="162" t="s">
        <v>31</v>
      </c>
      <c r="M14" s="249" t="s">
        <v>120</v>
      </c>
      <c r="N14" s="128" t="s">
        <v>121</v>
      </c>
      <c r="O14" s="129">
        <v>2</v>
      </c>
      <c r="P14" s="129">
        <f t="shared" si="0"/>
        <v>2</v>
      </c>
      <c r="Q14" s="129">
        <f t="shared" si="1"/>
        <v>2</v>
      </c>
      <c r="R14" s="129">
        <f t="shared" si="2"/>
        <v>2</v>
      </c>
      <c r="S14" s="7" t="s">
        <v>57</v>
      </c>
      <c r="T14" s="5"/>
    </row>
    <row r="15" spans="1:20" ht="14.25" customHeight="1" x14ac:dyDescent="0.2">
      <c r="A15" s="209"/>
      <c r="B15" s="212"/>
      <c r="C15" s="171"/>
      <c r="D15" s="214"/>
      <c r="E15" s="207"/>
      <c r="F15" s="216"/>
      <c r="G15" s="219"/>
      <c r="H15" s="216"/>
      <c r="I15" s="207"/>
      <c r="J15" s="216"/>
      <c r="K15" s="216"/>
      <c r="L15" s="162" t="s">
        <v>34</v>
      </c>
      <c r="M15" s="249" t="s">
        <v>122</v>
      </c>
      <c r="N15" s="128" t="s">
        <v>123</v>
      </c>
      <c r="O15" s="129">
        <v>2</v>
      </c>
      <c r="P15" s="129">
        <f t="shared" si="0"/>
        <v>2</v>
      </c>
      <c r="Q15" s="129">
        <f t="shared" si="1"/>
        <v>2</v>
      </c>
      <c r="R15" s="129">
        <f t="shared" si="2"/>
        <v>2</v>
      </c>
      <c r="S15" s="7" t="s">
        <v>57</v>
      </c>
      <c r="T15" s="5"/>
    </row>
    <row r="16" spans="1:20" ht="14.25" customHeight="1" x14ac:dyDescent="0.2">
      <c r="A16" s="209"/>
      <c r="B16" s="212"/>
      <c r="C16" s="171"/>
      <c r="D16" s="214"/>
      <c r="E16" s="207"/>
      <c r="F16" s="216"/>
      <c r="G16" s="219"/>
      <c r="H16" s="216"/>
      <c r="I16" s="207"/>
      <c r="J16" s="216"/>
      <c r="K16" s="216"/>
      <c r="L16" s="162" t="s">
        <v>37</v>
      </c>
      <c r="M16" s="249" t="s">
        <v>124</v>
      </c>
      <c r="N16" s="128" t="s">
        <v>123</v>
      </c>
      <c r="O16" s="129">
        <v>2</v>
      </c>
      <c r="P16" s="129">
        <f t="shared" si="0"/>
        <v>2</v>
      </c>
      <c r="Q16" s="129">
        <f t="shared" si="1"/>
        <v>2</v>
      </c>
      <c r="R16" s="129">
        <f t="shared" si="2"/>
        <v>2</v>
      </c>
      <c r="S16" s="7" t="s">
        <v>57</v>
      </c>
      <c r="T16" s="5"/>
    </row>
    <row r="17" spans="1:20" ht="14.25" customHeight="1" x14ac:dyDescent="0.2">
      <c r="A17" s="209"/>
      <c r="B17" s="212"/>
      <c r="C17" s="171"/>
      <c r="D17" s="214"/>
      <c r="E17" s="207"/>
      <c r="F17" s="216"/>
      <c r="G17" s="219"/>
      <c r="H17" s="216"/>
      <c r="I17" s="207"/>
      <c r="J17" s="216"/>
      <c r="K17" s="216"/>
      <c r="L17" s="162" t="s">
        <v>125</v>
      </c>
      <c r="M17" s="20" t="s">
        <v>126</v>
      </c>
      <c r="N17" s="128" t="s">
        <v>127</v>
      </c>
      <c r="O17" s="129">
        <v>4</v>
      </c>
      <c r="P17" s="129">
        <f t="shared" si="0"/>
        <v>4</v>
      </c>
      <c r="Q17" s="129">
        <f t="shared" si="1"/>
        <v>4</v>
      </c>
      <c r="R17" s="129">
        <f t="shared" si="2"/>
        <v>4</v>
      </c>
      <c r="S17" s="7" t="s">
        <v>57</v>
      </c>
      <c r="T17" s="5"/>
    </row>
    <row r="18" spans="1:20" ht="14.25" customHeight="1" x14ac:dyDescent="0.2">
      <c r="A18" s="210"/>
      <c r="B18" s="213"/>
      <c r="C18" s="179"/>
      <c r="D18" s="214"/>
      <c r="E18" s="207"/>
      <c r="F18" s="216"/>
      <c r="G18" s="219"/>
      <c r="H18" s="216"/>
      <c r="I18" s="207"/>
      <c r="J18" s="216"/>
      <c r="K18" s="216"/>
      <c r="L18" s="162" t="s">
        <v>128</v>
      </c>
      <c r="M18" s="20" t="s">
        <v>129</v>
      </c>
      <c r="N18" s="106" t="s">
        <v>130</v>
      </c>
      <c r="O18" s="129">
        <v>4</v>
      </c>
      <c r="P18" s="129">
        <f t="shared" si="0"/>
        <v>4</v>
      </c>
      <c r="Q18" s="129">
        <f t="shared" si="1"/>
        <v>4</v>
      </c>
      <c r="R18" s="129">
        <f t="shared" si="2"/>
        <v>4</v>
      </c>
      <c r="S18" s="7" t="s">
        <v>57</v>
      </c>
      <c r="T18" s="5"/>
    </row>
    <row r="19" spans="1:20" x14ac:dyDescent="0.2">
      <c r="J19" s="4"/>
      <c r="K19" s="4"/>
    </row>
    <row r="21" spans="1:20" x14ac:dyDescent="0.2">
      <c r="Q21" s="55"/>
    </row>
    <row r="25" spans="1:20" ht="15.75" x14ac:dyDescent="0.2">
      <c r="M25" s="56"/>
    </row>
    <row r="26" spans="1:20" hidden="1" x14ac:dyDescent="0.2">
      <c r="B26" s="58">
        <v>15</v>
      </c>
    </row>
    <row r="27" spans="1:20" hidden="1" x14ac:dyDescent="0.2">
      <c r="B27" s="58">
        <v>20</v>
      </c>
    </row>
    <row r="28" spans="1:20" hidden="1" x14ac:dyDescent="0.2">
      <c r="B28" s="58">
        <v>25</v>
      </c>
    </row>
    <row r="29" spans="1:20" hidden="1" x14ac:dyDescent="0.2">
      <c r="B29" s="58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G37" zoomScale="175" zoomScaleNormal="100" zoomScalePageLayoutView="175" workbookViewId="0">
      <selection activeCell="J44" sqref="J44:J49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73" t="s">
        <v>0</v>
      </c>
      <c r="B6" s="174"/>
      <c r="C6" s="174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4"/>
      <c r="S6" s="54"/>
      <c r="T6" s="15" t="s">
        <v>15</v>
      </c>
    </row>
    <row r="7" spans="1:20" ht="50.25" customHeight="1" x14ac:dyDescent="0.2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x14ac:dyDescent="0.2">
      <c r="A8" s="220" t="s">
        <v>23</v>
      </c>
      <c r="B8" s="221">
        <v>20</v>
      </c>
      <c r="C8" s="221">
        <v>1</v>
      </c>
      <c r="D8" s="220" t="s">
        <v>40</v>
      </c>
      <c r="E8" s="222" t="s">
        <v>131</v>
      </c>
      <c r="F8" s="224">
        <v>1</v>
      </c>
      <c r="G8" s="219">
        <f>C8*F8</f>
        <v>1</v>
      </c>
      <c r="H8" s="219" t="s">
        <v>26</v>
      </c>
      <c r="I8" s="219" t="s">
        <v>131</v>
      </c>
      <c r="J8" s="219">
        <v>1</v>
      </c>
      <c r="K8" s="219">
        <f>J8*G8</f>
        <v>1</v>
      </c>
      <c r="L8" s="165" t="s">
        <v>25</v>
      </c>
      <c r="M8" s="250" t="s">
        <v>109</v>
      </c>
      <c r="N8" s="125" t="s">
        <v>132</v>
      </c>
      <c r="O8" s="125">
        <v>1</v>
      </c>
      <c r="P8" s="126">
        <f>O8*$F$8</f>
        <v>1</v>
      </c>
      <c r="Q8" s="126">
        <f>P8*$C$8</f>
        <v>1</v>
      </c>
      <c r="R8" s="126">
        <f>5.65*Q8</f>
        <v>5.65</v>
      </c>
      <c r="S8" s="126" t="s">
        <v>30</v>
      </c>
      <c r="T8" s="59"/>
    </row>
    <row r="9" spans="1:20" x14ac:dyDescent="0.2">
      <c r="A9" s="220"/>
      <c r="B9" s="221"/>
      <c r="C9" s="221"/>
      <c r="D9" s="220"/>
      <c r="E9" s="222"/>
      <c r="F9" s="224"/>
      <c r="G9" s="219"/>
      <c r="H9" s="219"/>
      <c r="I9" s="219"/>
      <c r="J9" s="219"/>
      <c r="K9" s="219"/>
      <c r="L9" s="165" t="s">
        <v>31</v>
      </c>
      <c r="M9" s="250" t="s">
        <v>111</v>
      </c>
      <c r="N9" s="125" t="s">
        <v>133</v>
      </c>
      <c r="O9" s="125">
        <v>3</v>
      </c>
      <c r="P9" s="126">
        <f t="shared" ref="P9:P23" si="0">O9*$F$8</f>
        <v>3</v>
      </c>
      <c r="Q9" s="126">
        <f t="shared" ref="Q9:Q23" si="1">P9*$C$8</f>
        <v>3</v>
      </c>
      <c r="R9" s="126">
        <f>Q9*1.5</f>
        <v>4.5</v>
      </c>
      <c r="S9" s="126" t="s">
        <v>30</v>
      </c>
      <c r="T9" s="59"/>
    </row>
    <row r="10" spans="1:20" x14ac:dyDescent="0.2">
      <c r="A10" s="220"/>
      <c r="B10" s="221"/>
      <c r="C10" s="221"/>
      <c r="D10" s="220"/>
      <c r="E10" s="222"/>
      <c r="F10" s="224"/>
      <c r="G10" s="219"/>
      <c r="H10" s="219"/>
      <c r="I10" s="219"/>
      <c r="J10" s="219"/>
      <c r="K10" s="219"/>
      <c r="L10" s="165" t="s">
        <v>34</v>
      </c>
      <c r="M10" s="250" t="s">
        <v>134</v>
      </c>
      <c r="N10" s="125" t="s">
        <v>135</v>
      </c>
      <c r="O10" s="125">
        <v>1</v>
      </c>
      <c r="P10" s="126">
        <f t="shared" si="0"/>
        <v>1</v>
      </c>
      <c r="Q10" s="126">
        <f t="shared" si="1"/>
        <v>1</v>
      </c>
      <c r="R10" s="126">
        <f>2.3*Q10</f>
        <v>2.2999999999999998</v>
      </c>
      <c r="S10" s="126" t="s">
        <v>30</v>
      </c>
      <c r="T10" s="59"/>
    </row>
    <row r="11" spans="1:20" x14ac:dyDescent="0.2">
      <c r="A11" s="220"/>
      <c r="B11" s="221"/>
      <c r="C11" s="221"/>
      <c r="D11" s="220"/>
      <c r="E11" s="222"/>
      <c r="F11" s="224"/>
      <c r="G11" s="219"/>
      <c r="H11" s="219"/>
      <c r="I11" s="219"/>
      <c r="J11" s="219"/>
      <c r="K11" s="219"/>
      <c r="L11" s="165" t="s">
        <v>37</v>
      </c>
      <c r="M11" s="250" t="s">
        <v>136</v>
      </c>
      <c r="N11" s="115" t="str">
        <f>IF(B8=30,"70x70,L=1677",IF(B8=20,"70x70,L=1213",IF(B8=25,"70x70,L=1445",IF(B8=15,"70x70,L=981"))))</f>
        <v>70x70,L=1213</v>
      </c>
      <c r="O11" s="125">
        <v>2</v>
      </c>
      <c r="P11" s="126">
        <f t="shared" si="0"/>
        <v>2</v>
      </c>
      <c r="Q11" s="126">
        <f t="shared" si="1"/>
        <v>2</v>
      </c>
      <c r="R11" s="115">
        <f>(IF(B8=30,"11",IF(B8=20,"8",IF(B8=25,"9.53",IF(B8=15,"6.46")))))*Q11</f>
        <v>16</v>
      </c>
      <c r="S11" s="126" t="s">
        <v>30</v>
      </c>
      <c r="T11" s="59"/>
    </row>
    <row r="12" spans="1:20" x14ac:dyDescent="0.2">
      <c r="A12" s="220"/>
      <c r="B12" s="221"/>
      <c r="C12" s="221"/>
      <c r="D12" s="220"/>
      <c r="E12" s="222"/>
      <c r="F12" s="224"/>
      <c r="G12" s="219"/>
      <c r="H12" s="219"/>
      <c r="I12" s="219"/>
      <c r="J12" s="219"/>
      <c r="K12" s="219"/>
      <c r="L12" s="165" t="s">
        <v>125</v>
      </c>
      <c r="M12" s="250" t="s">
        <v>137</v>
      </c>
      <c r="N12" s="115" t="str">
        <f>IF(B8=30,"70x70,L=1718",IF(B8=20,"70x70,L=1177",IF(B8=25,"70x70,L=1447",IF(B8=15,"70x70,L=906"))))</f>
        <v>70x70,L=1177</v>
      </c>
      <c r="O12" s="125">
        <v>1</v>
      </c>
      <c r="P12" s="126">
        <f t="shared" si="0"/>
        <v>1</v>
      </c>
      <c r="Q12" s="126">
        <f t="shared" si="1"/>
        <v>1</v>
      </c>
      <c r="R12" s="115">
        <f>(IF(B8=30,"12.1",IF(B8=20,"8.75",IF(B8=25,"10.42",IF(B8=15,"7")))))*Q12</f>
        <v>8.75</v>
      </c>
      <c r="S12" s="126" t="s">
        <v>30</v>
      </c>
      <c r="T12" s="59"/>
    </row>
    <row r="13" spans="1:20" x14ac:dyDescent="0.2">
      <c r="A13" s="220"/>
      <c r="B13" s="221"/>
      <c r="C13" s="221"/>
      <c r="D13" s="220"/>
      <c r="E13" s="222"/>
      <c r="F13" s="224"/>
      <c r="G13" s="219"/>
      <c r="H13" s="219"/>
      <c r="I13" s="219"/>
      <c r="J13" s="219"/>
      <c r="K13" s="219"/>
      <c r="L13" s="165" t="s">
        <v>128</v>
      </c>
      <c r="M13" s="250" t="s">
        <v>138</v>
      </c>
      <c r="N13" s="115" t="str">
        <f>IF(B8=30,"3x270x700",IF(B8=20,"3x270x500",IF(B8=25,"3x270x600",IF(B8=15,"3x270x400"))))</f>
        <v>3x270x500</v>
      </c>
      <c r="O13" s="125">
        <v>1</v>
      </c>
      <c r="P13" s="126">
        <f t="shared" si="0"/>
        <v>1</v>
      </c>
      <c r="Q13" s="126">
        <f t="shared" si="1"/>
        <v>1</v>
      </c>
      <c r="R13" s="115">
        <f>(IF(B8=30,"4.45",IF(B8=20,"3.18",IF(B8=25,"3.81",IF(B8=15,"2.54")))))*Q13</f>
        <v>3.18</v>
      </c>
      <c r="S13" s="126" t="s">
        <v>30</v>
      </c>
      <c r="T13" s="59"/>
    </row>
    <row r="14" spans="1:20" ht="28.5" x14ac:dyDescent="0.2">
      <c r="A14" s="220"/>
      <c r="B14" s="221"/>
      <c r="C14" s="221"/>
      <c r="D14" s="220"/>
      <c r="E14" s="222"/>
      <c r="F14" s="224"/>
      <c r="G14" s="219"/>
      <c r="H14" s="219"/>
      <c r="I14" s="219"/>
      <c r="J14" s="219"/>
      <c r="K14" s="219"/>
      <c r="L14" s="165" t="s">
        <v>139</v>
      </c>
      <c r="M14" s="252" t="s">
        <v>140</v>
      </c>
      <c r="N14" s="125" t="s">
        <v>141</v>
      </c>
      <c r="O14" s="125">
        <v>1</v>
      </c>
      <c r="P14" s="126">
        <f t="shared" si="0"/>
        <v>1</v>
      </c>
      <c r="Q14" s="126">
        <f t="shared" si="1"/>
        <v>1</v>
      </c>
      <c r="R14" s="126">
        <f>1.06*Q14</f>
        <v>1.06</v>
      </c>
      <c r="S14" s="126" t="s">
        <v>30</v>
      </c>
      <c r="T14" s="59"/>
    </row>
    <row r="15" spans="1:20" x14ac:dyDescent="0.2">
      <c r="A15" s="220"/>
      <c r="B15" s="221"/>
      <c r="C15" s="221"/>
      <c r="D15" s="220"/>
      <c r="E15" s="222"/>
      <c r="F15" s="224"/>
      <c r="G15" s="219"/>
      <c r="H15" s="219"/>
      <c r="I15" s="219"/>
      <c r="J15" s="219"/>
      <c r="K15" s="219"/>
      <c r="L15" s="165" t="s">
        <v>142</v>
      </c>
      <c r="M15" s="250" t="s">
        <v>143</v>
      </c>
      <c r="N15" s="125" t="s">
        <v>144</v>
      </c>
      <c r="O15" s="125">
        <v>1</v>
      </c>
      <c r="P15" s="126">
        <f t="shared" si="0"/>
        <v>1</v>
      </c>
      <c r="Q15" s="126">
        <f t="shared" si="1"/>
        <v>1</v>
      </c>
      <c r="R15" s="126">
        <f>0.33*Q15</f>
        <v>0.33</v>
      </c>
      <c r="S15" s="126" t="s">
        <v>30</v>
      </c>
      <c r="T15" s="59"/>
    </row>
    <row r="16" spans="1:20" x14ac:dyDescent="0.2">
      <c r="A16" s="220"/>
      <c r="B16" s="221"/>
      <c r="C16" s="221"/>
      <c r="D16" s="220"/>
      <c r="E16" s="222"/>
      <c r="F16" s="224"/>
      <c r="G16" s="219"/>
      <c r="H16" s="219"/>
      <c r="I16" s="219"/>
      <c r="J16" s="219"/>
      <c r="K16" s="219"/>
      <c r="L16" s="165" t="s">
        <v>145</v>
      </c>
      <c r="M16" s="250" t="s">
        <v>146</v>
      </c>
      <c r="N16" s="125" t="s">
        <v>147</v>
      </c>
      <c r="O16" s="125">
        <v>1</v>
      </c>
      <c r="P16" s="126">
        <f t="shared" si="0"/>
        <v>1</v>
      </c>
      <c r="Q16" s="126">
        <f t="shared" si="1"/>
        <v>1</v>
      </c>
      <c r="R16" s="126">
        <f>0.15*Q16</f>
        <v>0.15</v>
      </c>
      <c r="S16" s="126" t="s">
        <v>30</v>
      </c>
      <c r="T16" s="59"/>
    </row>
    <row r="17" spans="1:20" x14ac:dyDescent="0.2">
      <c r="A17" s="220"/>
      <c r="B17" s="221"/>
      <c r="C17" s="221"/>
      <c r="D17" s="220"/>
      <c r="E17" s="222"/>
      <c r="F17" s="224"/>
      <c r="G17" s="219"/>
      <c r="H17" s="219"/>
      <c r="I17" s="219"/>
      <c r="J17" s="219"/>
      <c r="K17" s="219"/>
      <c r="L17" s="165" t="s">
        <v>148</v>
      </c>
      <c r="M17" s="250" t="s">
        <v>149</v>
      </c>
      <c r="N17" s="115" t="str">
        <f>IF(B8=30,"40x40,L=700",IF(B8=20,"40x40,L=500",IF(B8=25,"40x40,L=600",IF(B8=15,"40x40,L=400"))))</f>
        <v>40x40,L=500</v>
      </c>
      <c r="O17" s="125">
        <v>1</v>
      </c>
      <c r="P17" s="126">
        <f t="shared" si="0"/>
        <v>1</v>
      </c>
      <c r="Q17" s="126">
        <f t="shared" si="1"/>
        <v>1</v>
      </c>
      <c r="R17" s="115">
        <f>(IF(B8=30,"1.75",IF(B8=20,"1.25",IF(B8=25,"1.5",IF(B8=15,"1")))))*Q17</f>
        <v>1.25</v>
      </c>
      <c r="S17" s="126" t="s">
        <v>30</v>
      </c>
      <c r="T17" s="59"/>
    </row>
    <row r="18" spans="1:20" x14ac:dyDescent="0.2">
      <c r="A18" s="220"/>
      <c r="B18" s="221"/>
      <c r="C18" s="221"/>
      <c r="D18" s="220"/>
      <c r="E18" s="222"/>
      <c r="F18" s="224"/>
      <c r="G18" s="219"/>
      <c r="H18" s="219"/>
      <c r="I18" s="219"/>
      <c r="J18" s="219"/>
      <c r="K18" s="219"/>
      <c r="L18" s="165" t="s">
        <v>150</v>
      </c>
      <c r="M18" s="250" t="s">
        <v>151</v>
      </c>
      <c r="N18" s="115" t="str">
        <f>IF(B8=30,"40x40,L=800",IF(B8=20,"40x40,L=600",IF(B8=25,"40x40,L=700",IF(B8=15,"40x40,L=500"))))</f>
        <v>40x40,L=600</v>
      </c>
      <c r="O18" s="125">
        <v>1</v>
      </c>
      <c r="P18" s="126">
        <f t="shared" si="0"/>
        <v>1</v>
      </c>
      <c r="Q18" s="126">
        <f t="shared" si="1"/>
        <v>1</v>
      </c>
      <c r="R18" s="115">
        <f>(IF(B8=30,"2",IF(B8=20,"1.5",IF(B8=25,"1.75",IF(B8=15,"1.25")))))*Q18</f>
        <v>1.5</v>
      </c>
      <c r="S18" s="126" t="s">
        <v>30</v>
      </c>
      <c r="T18" s="59"/>
    </row>
    <row r="19" spans="1:20" x14ac:dyDescent="0.2">
      <c r="A19" s="220"/>
      <c r="B19" s="221"/>
      <c r="C19" s="221"/>
      <c r="D19" s="220"/>
      <c r="E19" s="222"/>
      <c r="F19" s="224"/>
      <c r="G19" s="219"/>
      <c r="H19" s="219"/>
      <c r="I19" s="219"/>
      <c r="J19" s="219"/>
      <c r="K19" s="219"/>
      <c r="L19" s="165" t="s">
        <v>152</v>
      </c>
      <c r="M19" s="250" t="s">
        <v>153</v>
      </c>
      <c r="N19" s="125" t="s">
        <v>154</v>
      </c>
      <c r="O19" s="125">
        <v>1</v>
      </c>
      <c r="P19" s="126">
        <f t="shared" si="0"/>
        <v>1</v>
      </c>
      <c r="Q19" s="126">
        <f t="shared" si="1"/>
        <v>1</v>
      </c>
      <c r="R19" s="126">
        <f>Q19*1.68</f>
        <v>1.68</v>
      </c>
      <c r="S19" s="126" t="s">
        <v>30</v>
      </c>
      <c r="T19" s="59"/>
    </row>
    <row r="20" spans="1:20" x14ac:dyDescent="0.2">
      <c r="A20" s="220"/>
      <c r="B20" s="221"/>
      <c r="C20" s="221"/>
      <c r="D20" s="220"/>
      <c r="E20" s="222"/>
      <c r="F20" s="224"/>
      <c r="G20" s="219"/>
      <c r="H20" s="219"/>
      <c r="I20" s="219"/>
      <c r="J20" s="219"/>
      <c r="K20" s="219"/>
      <c r="L20" s="165" t="s">
        <v>155</v>
      </c>
      <c r="M20" s="250" t="s">
        <v>156</v>
      </c>
      <c r="N20" s="125" t="s">
        <v>157</v>
      </c>
      <c r="O20" s="125">
        <v>3</v>
      </c>
      <c r="P20" s="126">
        <f t="shared" si="0"/>
        <v>3</v>
      </c>
      <c r="Q20" s="126">
        <f t="shared" si="1"/>
        <v>3</v>
      </c>
      <c r="R20" s="126">
        <f>0.126*Q20</f>
        <v>0.378</v>
      </c>
      <c r="S20" s="126" t="s">
        <v>30</v>
      </c>
      <c r="T20" s="59"/>
    </row>
    <row r="21" spans="1:20" x14ac:dyDescent="0.2">
      <c r="A21" s="220"/>
      <c r="B21" s="221"/>
      <c r="C21" s="221"/>
      <c r="D21" s="220"/>
      <c r="E21" s="222"/>
      <c r="F21" s="224"/>
      <c r="G21" s="219"/>
      <c r="H21" s="219"/>
      <c r="I21" s="219"/>
      <c r="J21" s="219"/>
      <c r="K21" s="219"/>
      <c r="L21" s="165" t="s">
        <v>158</v>
      </c>
      <c r="M21" s="250" t="s">
        <v>159</v>
      </c>
      <c r="N21" s="125" t="s">
        <v>160</v>
      </c>
      <c r="O21" s="125">
        <v>2</v>
      </c>
      <c r="P21" s="126">
        <f t="shared" si="0"/>
        <v>2</v>
      </c>
      <c r="Q21" s="126">
        <f t="shared" si="1"/>
        <v>2</v>
      </c>
      <c r="R21" s="126">
        <f>Q21*0.1</f>
        <v>0.2</v>
      </c>
      <c r="S21" s="126" t="s">
        <v>30</v>
      </c>
      <c r="T21" s="39"/>
    </row>
    <row r="22" spans="1:20" x14ac:dyDescent="0.2">
      <c r="A22" s="220"/>
      <c r="B22" s="221"/>
      <c r="C22" s="221"/>
      <c r="D22" s="220"/>
      <c r="E22" s="222"/>
      <c r="F22" s="224"/>
      <c r="G22" s="219"/>
      <c r="H22" s="219"/>
      <c r="I22" s="219"/>
      <c r="J22" s="219"/>
      <c r="K22" s="219"/>
      <c r="L22" s="165">
        <v>15</v>
      </c>
      <c r="M22" s="250" t="s">
        <v>161</v>
      </c>
      <c r="N22" s="125" t="s">
        <v>162</v>
      </c>
      <c r="O22" s="125">
        <v>1</v>
      </c>
      <c r="P22" s="126">
        <f t="shared" si="0"/>
        <v>1</v>
      </c>
      <c r="Q22" s="126">
        <f t="shared" si="1"/>
        <v>1</v>
      </c>
      <c r="R22" s="126">
        <f>Q22*0.254</f>
        <v>0.254</v>
      </c>
      <c r="S22" s="126" t="s">
        <v>30</v>
      </c>
      <c r="T22" s="59"/>
    </row>
    <row r="23" spans="1:20" x14ac:dyDescent="0.2">
      <c r="A23" s="220"/>
      <c r="B23" s="221"/>
      <c r="C23" s="221"/>
      <c r="D23" s="220"/>
      <c r="E23" s="222"/>
      <c r="F23" s="224"/>
      <c r="G23" s="219"/>
      <c r="H23" s="219"/>
      <c r="I23" s="219"/>
      <c r="J23" s="219"/>
      <c r="K23" s="219"/>
      <c r="L23" s="165">
        <v>16</v>
      </c>
      <c r="M23" s="255" t="s">
        <v>163</v>
      </c>
      <c r="N23" s="127" t="s">
        <v>164</v>
      </c>
      <c r="O23" s="125">
        <v>2</v>
      </c>
      <c r="P23" s="126">
        <f t="shared" si="0"/>
        <v>2</v>
      </c>
      <c r="Q23" s="126">
        <f t="shared" si="1"/>
        <v>2</v>
      </c>
      <c r="R23" s="126">
        <f>Q23*0.088</f>
        <v>0.17599999999999999</v>
      </c>
      <c r="S23" s="126" t="s">
        <v>30</v>
      </c>
      <c r="T23" s="59"/>
    </row>
    <row r="24" spans="1:20" x14ac:dyDescent="0.2">
      <c r="J24" s="4"/>
      <c r="K24" s="4"/>
    </row>
    <row r="35" spans="1:20" ht="19.5" x14ac:dyDescent="0.2">
      <c r="A35" s="173" t="s">
        <v>0</v>
      </c>
      <c r="B35" s="174"/>
      <c r="C35" s="174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54"/>
      <c r="S35" s="54"/>
      <c r="T35" s="15" t="s">
        <v>15</v>
      </c>
    </row>
    <row r="36" spans="1:20" ht="50.25" customHeight="1" x14ac:dyDescent="0.2">
      <c r="A36" s="48" t="s">
        <v>2</v>
      </c>
      <c r="B36" s="48" t="s">
        <v>17</v>
      </c>
      <c r="C36" s="32" t="s">
        <v>3</v>
      </c>
      <c r="D36" s="32" t="s">
        <v>4</v>
      </c>
      <c r="E36" s="24" t="s">
        <v>5</v>
      </c>
      <c r="F36" s="32" t="s">
        <v>6</v>
      </c>
      <c r="G36" s="32" t="s">
        <v>3</v>
      </c>
      <c r="H36" s="32" t="s">
        <v>10</v>
      </c>
      <c r="I36" s="32" t="s">
        <v>5</v>
      </c>
      <c r="J36" s="48" t="s">
        <v>12</v>
      </c>
      <c r="K36" s="32" t="s">
        <v>11</v>
      </c>
      <c r="L36" s="46" t="s">
        <v>7</v>
      </c>
      <c r="M36" s="24" t="s">
        <v>5</v>
      </c>
      <c r="N36" s="24" t="s">
        <v>9</v>
      </c>
      <c r="O36" s="32" t="s">
        <v>8</v>
      </c>
      <c r="P36" s="32" t="s">
        <v>6</v>
      </c>
      <c r="Q36" s="47" t="s">
        <v>3</v>
      </c>
      <c r="R36" s="47" t="s">
        <v>18</v>
      </c>
      <c r="S36" s="47" t="s">
        <v>19</v>
      </c>
      <c r="T36" s="32" t="s">
        <v>16</v>
      </c>
    </row>
    <row r="37" spans="1:20" ht="14.25" customHeight="1" x14ac:dyDescent="0.2">
      <c r="A37" s="226" t="s">
        <v>23</v>
      </c>
      <c r="B37" s="229">
        <v>20</v>
      </c>
      <c r="C37" s="223" t="s">
        <v>25</v>
      </c>
      <c r="D37" s="223" t="s">
        <v>40</v>
      </c>
      <c r="E37" s="223" t="s">
        <v>131</v>
      </c>
      <c r="F37" s="223" t="s">
        <v>25</v>
      </c>
      <c r="G37" s="225">
        <f>F37*C37</f>
        <v>1</v>
      </c>
      <c r="H37" s="216" t="s">
        <v>26</v>
      </c>
      <c r="I37" s="216" t="s">
        <v>131</v>
      </c>
      <c r="J37" s="216">
        <v>1</v>
      </c>
      <c r="K37" s="216">
        <v>2</v>
      </c>
      <c r="L37" s="162" t="s">
        <v>165</v>
      </c>
      <c r="M37" s="261" t="s">
        <v>166</v>
      </c>
      <c r="N37" s="36" t="s">
        <v>167</v>
      </c>
      <c r="O37" s="62">
        <v>2</v>
      </c>
      <c r="P37" s="62">
        <f>O37*$F$37</f>
        <v>2</v>
      </c>
      <c r="Q37" s="62">
        <f>P37*C$37</f>
        <v>2</v>
      </c>
      <c r="R37" s="62">
        <f>Q37</f>
        <v>2</v>
      </c>
      <c r="S37" s="86" t="s">
        <v>57</v>
      </c>
      <c r="T37" s="63"/>
    </row>
    <row r="38" spans="1:20" ht="14.25" customHeight="1" x14ac:dyDescent="0.2">
      <c r="A38" s="227"/>
      <c r="B38" s="230"/>
      <c r="C38" s="205"/>
      <c r="D38" s="205"/>
      <c r="E38" s="205"/>
      <c r="F38" s="205"/>
      <c r="G38" s="203"/>
      <c r="H38" s="216"/>
      <c r="I38" s="216"/>
      <c r="J38" s="216"/>
      <c r="K38" s="216"/>
      <c r="L38" s="162" t="s">
        <v>168</v>
      </c>
      <c r="M38" s="261" t="s">
        <v>169</v>
      </c>
      <c r="N38" s="36" t="s">
        <v>170</v>
      </c>
      <c r="O38" s="62">
        <v>2</v>
      </c>
      <c r="P38" s="62">
        <f t="shared" ref="P38:P49" si="2">O38*$F$37</f>
        <v>2</v>
      </c>
      <c r="Q38" s="62">
        <f t="shared" ref="Q38:Q49" si="3">P38*C$37</f>
        <v>2</v>
      </c>
      <c r="R38" s="62">
        <f t="shared" ref="R38:R49" si="4">Q38</f>
        <v>2</v>
      </c>
      <c r="S38" s="86" t="s">
        <v>57</v>
      </c>
      <c r="T38" s="63"/>
    </row>
    <row r="39" spans="1:20" ht="14.25" customHeight="1" x14ac:dyDescent="0.2">
      <c r="A39" s="227"/>
      <c r="B39" s="230"/>
      <c r="C39" s="205"/>
      <c r="D39" s="205"/>
      <c r="E39" s="205"/>
      <c r="F39" s="205"/>
      <c r="G39" s="203"/>
      <c r="H39" s="216"/>
      <c r="I39" s="216"/>
      <c r="J39" s="216"/>
      <c r="K39" s="216"/>
      <c r="L39" s="162" t="s">
        <v>171</v>
      </c>
      <c r="M39" s="261" t="s">
        <v>172</v>
      </c>
      <c r="N39" s="20" t="s">
        <v>173</v>
      </c>
      <c r="O39" s="62">
        <v>4</v>
      </c>
      <c r="P39" s="62">
        <f t="shared" si="2"/>
        <v>4</v>
      </c>
      <c r="Q39" s="62">
        <f t="shared" si="3"/>
        <v>4</v>
      </c>
      <c r="R39" s="62">
        <f t="shared" si="4"/>
        <v>4</v>
      </c>
      <c r="S39" s="86" t="s">
        <v>57</v>
      </c>
      <c r="T39" s="63"/>
    </row>
    <row r="40" spans="1:20" ht="14.25" customHeight="1" x14ac:dyDescent="0.2">
      <c r="A40" s="227"/>
      <c r="B40" s="230"/>
      <c r="C40" s="205"/>
      <c r="D40" s="205"/>
      <c r="E40" s="205"/>
      <c r="F40" s="205"/>
      <c r="G40" s="203"/>
      <c r="H40" s="192"/>
      <c r="I40" s="192"/>
      <c r="J40" s="192"/>
      <c r="K40" s="192"/>
      <c r="L40" s="162" t="s">
        <v>174</v>
      </c>
      <c r="M40" s="261" t="s">
        <v>175</v>
      </c>
      <c r="N40" s="20" t="s">
        <v>173</v>
      </c>
      <c r="O40" s="62">
        <v>2</v>
      </c>
      <c r="P40" s="62">
        <f t="shared" si="2"/>
        <v>2</v>
      </c>
      <c r="Q40" s="62">
        <f t="shared" si="3"/>
        <v>2</v>
      </c>
      <c r="R40" s="62">
        <f t="shared" si="4"/>
        <v>2</v>
      </c>
      <c r="S40" s="86" t="s">
        <v>57</v>
      </c>
      <c r="T40" s="64"/>
    </row>
    <row r="41" spans="1:20" ht="14.25" customHeight="1" x14ac:dyDescent="0.2">
      <c r="A41" s="227"/>
      <c r="B41" s="230"/>
      <c r="C41" s="205"/>
      <c r="D41" s="205"/>
      <c r="E41" s="205"/>
      <c r="F41" s="205"/>
      <c r="G41" s="203"/>
      <c r="H41" s="192"/>
      <c r="I41" s="192"/>
      <c r="J41" s="192"/>
      <c r="K41" s="192"/>
      <c r="L41" s="157" t="s">
        <v>176</v>
      </c>
      <c r="M41" s="262" t="s">
        <v>177</v>
      </c>
      <c r="N41" s="51" t="s">
        <v>178</v>
      </c>
      <c r="O41" s="65">
        <v>1</v>
      </c>
      <c r="P41" s="65">
        <f t="shared" si="2"/>
        <v>1</v>
      </c>
      <c r="Q41" s="65">
        <f t="shared" si="3"/>
        <v>1</v>
      </c>
      <c r="R41" s="65">
        <f t="shared" si="4"/>
        <v>1</v>
      </c>
      <c r="S41" s="65" t="s">
        <v>57</v>
      </c>
      <c r="T41" s="64"/>
    </row>
    <row r="42" spans="1:20" ht="14.25" customHeight="1" thickBot="1" x14ac:dyDescent="0.25">
      <c r="A42" s="227"/>
      <c r="B42" s="230"/>
      <c r="C42" s="205"/>
      <c r="D42" s="205"/>
      <c r="E42" s="205"/>
      <c r="F42" s="205"/>
      <c r="G42" s="203"/>
      <c r="H42" s="232"/>
      <c r="I42" s="232"/>
      <c r="J42" s="232"/>
      <c r="K42" s="232"/>
      <c r="L42" s="164" t="s">
        <v>179</v>
      </c>
      <c r="M42" s="263" t="s">
        <v>180</v>
      </c>
      <c r="N42" s="49" t="s">
        <v>181</v>
      </c>
      <c r="O42" s="67">
        <v>1</v>
      </c>
      <c r="P42" s="67">
        <f t="shared" si="2"/>
        <v>1</v>
      </c>
      <c r="Q42" s="67">
        <f t="shared" si="3"/>
        <v>1</v>
      </c>
      <c r="R42" s="67">
        <f t="shared" si="4"/>
        <v>1</v>
      </c>
      <c r="S42" s="67" t="s">
        <v>57</v>
      </c>
      <c r="T42" s="72"/>
    </row>
    <row r="43" spans="1:20" ht="14.25" customHeight="1" thickBot="1" x14ac:dyDescent="0.25">
      <c r="A43" s="227"/>
      <c r="B43" s="230"/>
      <c r="C43" s="205"/>
      <c r="D43" s="205"/>
      <c r="E43" s="205"/>
      <c r="F43" s="205"/>
      <c r="G43" s="203"/>
      <c r="H43" s="160" t="s">
        <v>67</v>
      </c>
      <c r="I43" s="160" t="s">
        <v>116</v>
      </c>
      <c r="J43" s="160" t="s">
        <v>67</v>
      </c>
      <c r="K43" s="160" t="s">
        <v>67</v>
      </c>
      <c r="L43" s="45" t="s">
        <v>25</v>
      </c>
      <c r="M43" s="254" t="s">
        <v>116</v>
      </c>
      <c r="N43" s="38" t="s">
        <v>117</v>
      </c>
      <c r="O43" s="68">
        <v>1</v>
      </c>
      <c r="P43" s="68">
        <f t="shared" si="2"/>
        <v>1</v>
      </c>
      <c r="Q43" s="68">
        <f t="shared" si="3"/>
        <v>1</v>
      </c>
      <c r="R43" s="68">
        <f t="shared" si="4"/>
        <v>1</v>
      </c>
      <c r="S43" s="68" t="s">
        <v>57</v>
      </c>
      <c r="T43" s="69"/>
    </row>
    <row r="44" spans="1:20" ht="14.25" customHeight="1" x14ac:dyDescent="0.2">
      <c r="A44" s="227"/>
      <c r="B44" s="230"/>
      <c r="C44" s="205"/>
      <c r="D44" s="205"/>
      <c r="E44" s="205"/>
      <c r="F44" s="205"/>
      <c r="G44" s="203"/>
      <c r="H44" s="190" t="s">
        <v>40</v>
      </c>
      <c r="I44" s="233" t="s">
        <v>80</v>
      </c>
      <c r="J44" s="190">
        <v>1</v>
      </c>
      <c r="K44" s="190">
        <v>2</v>
      </c>
      <c r="L44" s="19" t="s">
        <v>25</v>
      </c>
      <c r="M44" s="264" t="s">
        <v>126</v>
      </c>
      <c r="N44" s="50" t="s">
        <v>127</v>
      </c>
      <c r="O44" s="66">
        <v>6</v>
      </c>
      <c r="P44" s="66">
        <f t="shared" si="2"/>
        <v>6</v>
      </c>
      <c r="Q44" s="66">
        <f t="shared" si="3"/>
        <v>6</v>
      </c>
      <c r="R44" s="66">
        <f t="shared" si="4"/>
        <v>6</v>
      </c>
      <c r="S44" s="66" t="s">
        <v>57</v>
      </c>
      <c r="T44" s="64"/>
    </row>
    <row r="45" spans="1:20" ht="14.25" customHeight="1" x14ac:dyDescent="0.2">
      <c r="A45" s="227"/>
      <c r="B45" s="230"/>
      <c r="C45" s="205"/>
      <c r="D45" s="205"/>
      <c r="E45" s="205"/>
      <c r="F45" s="205"/>
      <c r="G45" s="203"/>
      <c r="H45" s="176"/>
      <c r="I45" s="234"/>
      <c r="J45" s="176"/>
      <c r="K45" s="176"/>
      <c r="L45" s="158" t="s">
        <v>31</v>
      </c>
      <c r="M45" s="265" t="s">
        <v>129</v>
      </c>
      <c r="N45" s="36" t="s">
        <v>130</v>
      </c>
      <c r="O45" s="71">
        <v>6</v>
      </c>
      <c r="P45" s="71">
        <f t="shared" si="2"/>
        <v>6</v>
      </c>
      <c r="Q45" s="71">
        <f t="shared" si="3"/>
        <v>6</v>
      </c>
      <c r="R45" s="71">
        <f t="shared" si="4"/>
        <v>6</v>
      </c>
      <c r="S45" s="71" t="s">
        <v>57</v>
      </c>
      <c r="T45" s="76"/>
    </row>
    <row r="46" spans="1:20" ht="14.25" customHeight="1" x14ac:dyDescent="0.2">
      <c r="A46" s="227"/>
      <c r="B46" s="230"/>
      <c r="C46" s="205"/>
      <c r="D46" s="205"/>
      <c r="E46" s="205"/>
      <c r="F46" s="205"/>
      <c r="G46" s="203"/>
      <c r="H46" s="176"/>
      <c r="I46" s="234"/>
      <c r="J46" s="176"/>
      <c r="K46" s="176"/>
      <c r="L46" s="158" t="s">
        <v>34</v>
      </c>
      <c r="M46" s="266" t="s">
        <v>182</v>
      </c>
      <c r="N46" s="73" t="s">
        <v>119</v>
      </c>
      <c r="O46" s="74">
        <v>2</v>
      </c>
      <c r="P46" s="74">
        <f t="shared" si="2"/>
        <v>2</v>
      </c>
      <c r="Q46" s="74">
        <f t="shared" si="3"/>
        <v>2</v>
      </c>
      <c r="R46" s="74">
        <f t="shared" si="4"/>
        <v>2</v>
      </c>
      <c r="S46" s="74" t="s">
        <v>57</v>
      </c>
      <c r="T46" s="75"/>
    </row>
    <row r="47" spans="1:20" ht="14.25" customHeight="1" x14ac:dyDescent="0.2">
      <c r="A47" s="227"/>
      <c r="B47" s="230"/>
      <c r="C47" s="205"/>
      <c r="D47" s="205"/>
      <c r="E47" s="205"/>
      <c r="F47" s="205"/>
      <c r="G47" s="203"/>
      <c r="H47" s="176"/>
      <c r="I47" s="234"/>
      <c r="J47" s="176"/>
      <c r="K47" s="176"/>
      <c r="L47" s="162" t="s">
        <v>37</v>
      </c>
      <c r="M47" s="261" t="s">
        <v>183</v>
      </c>
      <c r="N47" s="23" t="s">
        <v>121</v>
      </c>
      <c r="O47" s="71">
        <v>2</v>
      </c>
      <c r="P47" s="71">
        <f t="shared" si="2"/>
        <v>2</v>
      </c>
      <c r="Q47" s="71">
        <f t="shared" si="3"/>
        <v>2</v>
      </c>
      <c r="R47" s="71">
        <f t="shared" si="4"/>
        <v>2</v>
      </c>
      <c r="S47" s="71" t="s">
        <v>57</v>
      </c>
      <c r="T47" s="63"/>
    </row>
    <row r="48" spans="1:20" ht="14.25" customHeight="1" x14ac:dyDescent="0.2">
      <c r="A48" s="227"/>
      <c r="B48" s="230"/>
      <c r="C48" s="205"/>
      <c r="D48" s="205"/>
      <c r="E48" s="205"/>
      <c r="F48" s="205"/>
      <c r="G48" s="203"/>
      <c r="H48" s="176"/>
      <c r="I48" s="234"/>
      <c r="J48" s="176"/>
      <c r="K48" s="176"/>
      <c r="L48" s="162" t="s">
        <v>125</v>
      </c>
      <c r="M48" s="261" t="s">
        <v>184</v>
      </c>
      <c r="N48" s="23" t="s">
        <v>123</v>
      </c>
      <c r="O48" s="71">
        <v>2</v>
      </c>
      <c r="P48" s="71">
        <f t="shared" si="2"/>
        <v>2</v>
      </c>
      <c r="Q48" s="71">
        <f t="shared" si="3"/>
        <v>2</v>
      </c>
      <c r="R48" s="71">
        <f t="shared" si="4"/>
        <v>2</v>
      </c>
      <c r="S48" s="71" t="s">
        <v>57</v>
      </c>
      <c r="T48" s="63"/>
    </row>
    <row r="49" spans="1:20" ht="14.25" customHeight="1" x14ac:dyDescent="0.2">
      <c r="A49" s="228"/>
      <c r="B49" s="231"/>
      <c r="C49" s="206"/>
      <c r="D49" s="206"/>
      <c r="E49" s="206"/>
      <c r="F49" s="206"/>
      <c r="G49" s="204"/>
      <c r="H49" s="177"/>
      <c r="I49" s="235"/>
      <c r="J49" s="177"/>
      <c r="K49" s="177"/>
      <c r="L49" s="162" t="s">
        <v>128</v>
      </c>
      <c r="M49" s="261" t="s">
        <v>185</v>
      </c>
      <c r="N49" s="23" t="s">
        <v>123</v>
      </c>
      <c r="O49" s="71">
        <v>2</v>
      </c>
      <c r="P49" s="71">
        <f t="shared" si="2"/>
        <v>2</v>
      </c>
      <c r="Q49" s="71">
        <f t="shared" si="3"/>
        <v>2</v>
      </c>
      <c r="R49" s="71">
        <f t="shared" si="4"/>
        <v>2</v>
      </c>
      <c r="S49" s="71" t="s">
        <v>57</v>
      </c>
      <c r="T49" s="63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D13" zoomScale="130" zoomScaleNormal="100" zoomScalePageLayoutView="130" workbookViewId="0">
      <selection activeCell="M23" sqref="M23:M24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173" t="s">
        <v>0</v>
      </c>
      <c r="B6" s="174"/>
      <c r="C6" s="174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4"/>
      <c r="S6" s="54"/>
      <c r="T6" s="15" t="s">
        <v>15</v>
      </c>
    </row>
    <row r="7" spans="1:20" ht="50.25" customHeight="1" x14ac:dyDescent="0.2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2" t="s">
        <v>5</v>
      </c>
      <c r="J7" s="17" t="s">
        <v>12</v>
      </c>
      <c r="K7" s="3" t="s">
        <v>11</v>
      </c>
      <c r="L7" s="1" t="s">
        <v>7</v>
      </c>
      <c r="M7" s="24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2" t="s">
        <v>16</v>
      </c>
    </row>
    <row r="8" spans="1:20" ht="14.25" customHeight="1" x14ac:dyDescent="0.2">
      <c r="A8" s="237" t="s">
        <v>23</v>
      </c>
      <c r="B8" s="183">
        <v>20</v>
      </c>
      <c r="C8" s="238">
        <v>1</v>
      </c>
      <c r="D8" s="237" t="s">
        <v>23</v>
      </c>
      <c r="E8" s="236" t="s">
        <v>186</v>
      </c>
      <c r="F8" s="216" t="s">
        <v>25</v>
      </c>
      <c r="G8" s="239">
        <f>F8*C8</f>
        <v>1</v>
      </c>
      <c r="H8" s="53" t="s">
        <v>67</v>
      </c>
      <c r="I8" s="35" t="s">
        <v>187</v>
      </c>
      <c r="J8" s="53" t="s">
        <v>67</v>
      </c>
      <c r="K8" s="53" t="s">
        <v>67</v>
      </c>
      <c r="L8" s="162" t="s">
        <v>25</v>
      </c>
      <c r="M8" s="256" t="s">
        <v>187</v>
      </c>
      <c r="N8" s="121" t="s">
        <v>188</v>
      </c>
      <c r="O8" s="118">
        <v>1</v>
      </c>
      <c r="P8" s="118">
        <f>O8*$F$8</f>
        <v>1</v>
      </c>
      <c r="Q8" s="118">
        <f>P8*$C$8</f>
        <v>1</v>
      </c>
      <c r="R8" s="119">
        <f>15.7*$Q$8</f>
        <v>15.7</v>
      </c>
      <c r="S8" s="62" t="s">
        <v>30</v>
      </c>
      <c r="T8" s="5"/>
    </row>
    <row r="9" spans="1:20" ht="14.25" customHeight="1" x14ac:dyDescent="0.2">
      <c r="A9" s="237"/>
      <c r="B9" s="184"/>
      <c r="C9" s="238"/>
      <c r="D9" s="237"/>
      <c r="E9" s="236"/>
      <c r="F9" s="216"/>
      <c r="G9" s="239"/>
      <c r="H9" s="163" t="s">
        <v>67</v>
      </c>
      <c r="I9" s="31" t="s">
        <v>189</v>
      </c>
      <c r="J9" s="53" t="s">
        <v>67</v>
      </c>
      <c r="K9" s="53" t="s">
        <v>67</v>
      </c>
      <c r="L9" s="158" t="s">
        <v>31</v>
      </c>
      <c r="M9" s="257" t="s">
        <v>189</v>
      </c>
      <c r="N9" s="121" t="s">
        <v>188</v>
      </c>
      <c r="O9" s="118">
        <v>1</v>
      </c>
      <c r="P9" s="118">
        <f t="shared" ref="P9:P24" si="0">O9*$F$8</f>
        <v>1</v>
      </c>
      <c r="Q9" s="118">
        <f t="shared" ref="Q9:R24" si="1">P9*$C$8</f>
        <v>1</v>
      </c>
      <c r="R9" s="119">
        <f t="shared" ref="R9:R11" si="2">15.7*$Q$8</f>
        <v>15.7</v>
      </c>
      <c r="S9" s="62" t="s">
        <v>30</v>
      </c>
      <c r="T9" s="5"/>
    </row>
    <row r="10" spans="1:20" ht="14.25" customHeight="1" x14ac:dyDescent="0.2">
      <c r="A10" s="237"/>
      <c r="B10" s="184"/>
      <c r="C10" s="238"/>
      <c r="D10" s="237"/>
      <c r="E10" s="236"/>
      <c r="F10" s="216"/>
      <c r="G10" s="239"/>
      <c r="H10" s="163" t="s">
        <v>67</v>
      </c>
      <c r="I10" s="31" t="s">
        <v>190</v>
      </c>
      <c r="J10" s="53" t="s">
        <v>67</v>
      </c>
      <c r="K10" s="53" t="s">
        <v>67</v>
      </c>
      <c r="L10" s="162" t="s">
        <v>34</v>
      </c>
      <c r="M10" s="257" t="s">
        <v>190</v>
      </c>
      <c r="N10" s="121" t="s">
        <v>188</v>
      </c>
      <c r="O10" s="118">
        <v>1</v>
      </c>
      <c r="P10" s="118">
        <f t="shared" si="0"/>
        <v>1</v>
      </c>
      <c r="Q10" s="118">
        <f t="shared" si="1"/>
        <v>1</v>
      </c>
      <c r="R10" s="119">
        <f t="shared" si="2"/>
        <v>15.7</v>
      </c>
      <c r="S10" s="62" t="s">
        <v>30</v>
      </c>
      <c r="T10" s="5"/>
    </row>
    <row r="11" spans="1:20" ht="14.25" customHeight="1" x14ac:dyDescent="0.2">
      <c r="A11" s="237"/>
      <c r="B11" s="184"/>
      <c r="C11" s="238"/>
      <c r="D11" s="237"/>
      <c r="E11" s="236"/>
      <c r="F11" s="216"/>
      <c r="G11" s="239"/>
      <c r="H11" s="163" t="s">
        <v>67</v>
      </c>
      <c r="I11" s="31" t="s">
        <v>191</v>
      </c>
      <c r="J11" s="53" t="s">
        <v>67</v>
      </c>
      <c r="K11" s="53" t="s">
        <v>67</v>
      </c>
      <c r="L11" s="162" t="s">
        <v>37</v>
      </c>
      <c r="M11" s="257" t="s">
        <v>191</v>
      </c>
      <c r="N11" s="121" t="s">
        <v>188</v>
      </c>
      <c r="O11" s="118">
        <v>1</v>
      </c>
      <c r="P11" s="118">
        <f t="shared" si="0"/>
        <v>1</v>
      </c>
      <c r="Q11" s="118">
        <f t="shared" si="1"/>
        <v>1</v>
      </c>
      <c r="R11" s="119">
        <f t="shared" si="2"/>
        <v>15.7</v>
      </c>
      <c r="S11" s="62" t="s">
        <v>30</v>
      </c>
      <c r="T11" s="5"/>
    </row>
    <row r="12" spans="1:20" ht="14.25" customHeight="1" x14ac:dyDescent="0.2">
      <c r="A12" s="237"/>
      <c r="B12" s="184"/>
      <c r="C12" s="238"/>
      <c r="D12" s="237"/>
      <c r="E12" s="236"/>
      <c r="F12" s="216"/>
      <c r="G12" s="239"/>
      <c r="H12" s="52" t="s">
        <v>67</v>
      </c>
      <c r="I12" s="31" t="s">
        <v>192</v>
      </c>
      <c r="J12" s="52" t="s">
        <v>67</v>
      </c>
      <c r="K12" s="53" t="s">
        <v>67</v>
      </c>
      <c r="L12" s="158" t="s">
        <v>125</v>
      </c>
      <c r="M12" s="257" t="s">
        <v>192</v>
      </c>
      <c r="N12" s="122" t="s">
        <v>193</v>
      </c>
      <c r="O12" s="118">
        <v>1</v>
      </c>
      <c r="P12" s="118">
        <f t="shared" si="0"/>
        <v>1</v>
      </c>
      <c r="Q12" s="118">
        <f t="shared" si="1"/>
        <v>1</v>
      </c>
      <c r="R12" s="119">
        <f>7.85*$Q$8</f>
        <v>7.85</v>
      </c>
      <c r="S12" s="62" t="s">
        <v>30</v>
      </c>
      <c r="T12" s="5"/>
    </row>
    <row r="13" spans="1:20" ht="14.25" customHeight="1" x14ac:dyDescent="0.2">
      <c r="A13" s="237"/>
      <c r="B13" s="184"/>
      <c r="C13" s="238"/>
      <c r="D13" s="237"/>
      <c r="E13" s="236"/>
      <c r="F13" s="216"/>
      <c r="G13" s="239"/>
      <c r="H13" s="52" t="s">
        <v>67</v>
      </c>
      <c r="I13" s="31" t="s">
        <v>194</v>
      </c>
      <c r="J13" s="52" t="s">
        <v>67</v>
      </c>
      <c r="K13" s="53" t="s">
        <v>67</v>
      </c>
      <c r="L13" s="158" t="s">
        <v>128</v>
      </c>
      <c r="M13" s="257" t="s">
        <v>194</v>
      </c>
      <c r="N13" s="122" t="s">
        <v>193</v>
      </c>
      <c r="O13" s="118">
        <v>1</v>
      </c>
      <c r="P13" s="118">
        <f t="shared" si="0"/>
        <v>1</v>
      </c>
      <c r="Q13" s="118">
        <f t="shared" si="1"/>
        <v>1</v>
      </c>
      <c r="R13" s="119">
        <f t="shared" ref="R13:R15" si="3">7.85*$Q$8</f>
        <v>7.85</v>
      </c>
      <c r="S13" s="62" t="s">
        <v>30</v>
      </c>
      <c r="T13" s="5"/>
    </row>
    <row r="14" spans="1:20" ht="14.25" customHeight="1" x14ac:dyDescent="0.2">
      <c r="A14" s="237"/>
      <c r="B14" s="184"/>
      <c r="C14" s="238"/>
      <c r="D14" s="237"/>
      <c r="E14" s="236"/>
      <c r="F14" s="216"/>
      <c r="G14" s="239"/>
      <c r="H14" s="52" t="s">
        <v>67</v>
      </c>
      <c r="I14" s="31" t="s">
        <v>195</v>
      </c>
      <c r="J14" s="52" t="s">
        <v>67</v>
      </c>
      <c r="K14" s="53" t="s">
        <v>67</v>
      </c>
      <c r="L14" s="158" t="s">
        <v>139</v>
      </c>
      <c r="M14" s="257" t="s">
        <v>195</v>
      </c>
      <c r="N14" s="122" t="s">
        <v>193</v>
      </c>
      <c r="O14" s="118">
        <v>1</v>
      </c>
      <c r="P14" s="118">
        <f t="shared" si="0"/>
        <v>1</v>
      </c>
      <c r="Q14" s="118">
        <f t="shared" si="1"/>
        <v>1</v>
      </c>
      <c r="R14" s="119">
        <f t="shared" si="3"/>
        <v>7.85</v>
      </c>
      <c r="S14" s="62" t="s">
        <v>30</v>
      </c>
      <c r="T14" s="5"/>
    </row>
    <row r="15" spans="1:20" ht="14.25" customHeight="1" x14ac:dyDescent="0.2">
      <c r="A15" s="237"/>
      <c r="B15" s="184"/>
      <c r="C15" s="238"/>
      <c r="D15" s="237"/>
      <c r="E15" s="236"/>
      <c r="F15" s="216"/>
      <c r="G15" s="239"/>
      <c r="H15" s="52" t="s">
        <v>67</v>
      </c>
      <c r="I15" s="31" t="s">
        <v>196</v>
      </c>
      <c r="J15" s="52" t="s">
        <v>67</v>
      </c>
      <c r="K15" s="53" t="s">
        <v>67</v>
      </c>
      <c r="L15" s="158" t="s">
        <v>142</v>
      </c>
      <c r="M15" s="257" t="s">
        <v>196</v>
      </c>
      <c r="N15" s="122" t="s">
        <v>193</v>
      </c>
      <c r="O15" s="118">
        <v>1</v>
      </c>
      <c r="P15" s="118">
        <f t="shared" si="0"/>
        <v>1</v>
      </c>
      <c r="Q15" s="118">
        <f t="shared" si="1"/>
        <v>1</v>
      </c>
      <c r="R15" s="119">
        <f t="shared" si="3"/>
        <v>7.85</v>
      </c>
      <c r="S15" s="62" t="s">
        <v>30</v>
      </c>
      <c r="T15" s="5"/>
    </row>
    <row r="16" spans="1:20" ht="14.25" customHeight="1" x14ac:dyDescent="0.2">
      <c r="A16" s="237"/>
      <c r="B16" s="184"/>
      <c r="C16" s="238"/>
      <c r="D16" s="237"/>
      <c r="E16" s="236"/>
      <c r="F16" s="216"/>
      <c r="G16" s="239"/>
      <c r="H16" s="53" t="s">
        <v>67</v>
      </c>
      <c r="I16" s="36" t="s">
        <v>197</v>
      </c>
      <c r="J16" s="53" t="s">
        <v>67</v>
      </c>
      <c r="K16" s="53" t="s">
        <v>67</v>
      </c>
      <c r="L16" s="162" t="s">
        <v>145</v>
      </c>
      <c r="M16" s="257" t="s">
        <v>197</v>
      </c>
      <c r="N16" s="121" t="s">
        <v>198</v>
      </c>
      <c r="O16" s="118" t="str">
        <f>IF(B8=30,"4",IF(B8=25,"0",IF(B8=20,"0",IF(B8=15,"0"))))</f>
        <v>0</v>
      </c>
      <c r="P16" s="118">
        <f t="shared" si="0"/>
        <v>0</v>
      </c>
      <c r="Q16" s="118">
        <f t="shared" si="1"/>
        <v>0</v>
      </c>
      <c r="R16" s="119">
        <f>Q16*4.38</f>
        <v>0</v>
      </c>
      <c r="S16" s="62" t="s">
        <v>30</v>
      </c>
      <c r="T16" s="5"/>
    </row>
    <row r="17" spans="1:28" ht="14.25" customHeight="1" x14ac:dyDescent="0.2">
      <c r="A17" s="237"/>
      <c r="B17" s="184"/>
      <c r="C17" s="238"/>
      <c r="D17" s="237"/>
      <c r="E17" s="236"/>
      <c r="F17" s="216"/>
      <c r="G17" s="239"/>
      <c r="H17" s="223" t="s">
        <v>26</v>
      </c>
      <c r="I17" s="223" t="s">
        <v>199</v>
      </c>
      <c r="J17" s="223" t="s">
        <v>31</v>
      </c>
      <c r="K17" s="225">
        <f>J17*G8</f>
        <v>2</v>
      </c>
      <c r="L17" s="158" t="s">
        <v>25</v>
      </c>
      <c r="M17" s="257" t="s">
        <v>200</v>
      </c>
      <c r="N17" s="121" t="s">
        <v>201</v>
      </c>
      <c r="O17" s="118">
        <v>2</v>
      </c>
      <c r="P17" s="118">
        <f t="shared" si="0"/>
        <v>2</v>
      </c>
      <c r="Q17" s="118">
        <f t="shared" si="1"/>
        <v>2</v>
      </c>
      <c r="R17" s="119">
        <f>Q17*0.1</f>
        <v>0.2</v>
      </c>
      <c r="S17" s="62" t="s">
        <v>30</v>
      </c>
      <c r="T17" s="5"/>
    </row>
    <row r="18" spans="1:28" ht="14.25" customHeight="1" x14ac:dyDescent="0.2">
      <c r="A18" s="237"/>
      <c r="B18" s="184"/>
      <c r="C18" s="238"/>
      <c r="D18" s="237"/>
      <c r="E18" s="236"/>
      <c r="F18" s="216"/>
      <c r="G18" s="239"/>
      <c r="H18" s="206"/>
      <c r="I18" s="206"/>
      <c r="J18" s="206"/>
      <c r="K18" s="204"/>
      <c r="L18" s="162" t="s">
        <v>31</v>
      </c>
      <c r="M18" s="257" t="s">
        <v>202</v>
      </c>
      <c r="N18" s="121" t="s">
        <v>203</v>
      </c>
      <c r="O18" s="118">
        <v>2</v>
      </c>
      <c r="P18" s="118">
        <f t="shared" si="0"/>
        <v>2</v>
      </c>
      <c r="Q18" s="118">
        <f t="shared" si="1"/>
        <v>2</v>
      </c>
      <c r="R18" s="119">
        <f>11.3*Q18</f>
        <v>22.6</v>
      </c>
      <c r="S18" s="62" t="s">
        <v>30</v>
      </c>
      <c r="T18" s="5"/>
    </row>
    <row r="19" spans="1:28" ht="14.25" customHeight="1" x14ac:dyDescent="0.2">
      <c r="A19" s="237"/>
      <c r="B19" s="184"/>
      <c r="C19" s="238"/>
      <c r="D19" s="237"/>
      <c r="E19" s="236"/>
      <c r="F19" s="216"/>
      <c r="G19" s="239"/>
      <c r="H19" s="223" t="s">
        <v>40</v>
      </c>
      <c r="I19" s="223" t="s">
        <v>204</v>
      </c>
      <c r="J19" s="223">
        <v>1</v>
      </c>
      <c r="K19" s="225">
        <f>J19*G8</f>
        <v>1</v>
      </c>
      <c r="L19" s="162" t="s">
        <v>25</v>
      </c>
      <c r="M19" s="257" t="s">
        <v>205</v>
      </c>
      <c r="N19" s="121" t="s">
        <v>92</v>
      </c>
      <c r="O19" s="118">
        <v>32</v>
      </c>
      <c r="P19" s="118">
        <f t="shared" si="0"/>
        <v>32</v>
      </c>
      <c r="Q19" s="118">
        <f t="shared" si="1"/>
        <v>32</v>
      </c>
      <c r="R19" s="118">
        <f t="shared" si="1"/>
        <v>32</v>
      </c>
      <c r="S19" s="62" t="s">
        <v>57</v>
      </c>
      <c r="T19" s="5"/>
    </row>
    <row r="20" spans="1:28" ht="14.25" customHeight="1" x14ac:dyDescent="0.2">
      <c r="A20" s="237"/>
      <c r="B20" s="184"/>
      <c r="C20" s="238"/>
      <c r="D20" s="237"/>
      <c r="E20" s="236"/>
      <c r="F20" s="216"/>
      <c r="G20" s="239"/>
      <c r="H20" s="205"/>
      <c r="I20" s="205"/>
      <c r="J20" s="205"/>
      <c r="K20" s="203"/>
      <c r="L20" s="158" t="s">
        <v>31</v>
      </c>
      <c r="M20" s="257" t="s">
        <v>206</v>
      </c>
      <c r="N20" s="121" t="s">
        <v>90</v>
      </c>
      <c r="O20" s="118">
        <v>32</v>
      </c>
      <c r="P20" s="118">
        <f t="shared" si="0"/>
        <v>32</v>
      </c>
      <c r="Q20" s="118">
        <f t="shared" si="1"/>
        <v>32</v>
      </c>
      <c r="R20" s="118">
        <f t="shared" si="1"/>
        <v>32</v>
      </c>
      <c r="S20" s="62" t="s">
        <v>57</v>
      </c>
      <c r="T20" s="5"/>
    </row>
    <row r="21" spans="1:28" ht="14.25" customHeight="1" x14ac:dyDescent="0.2">
      <c r="A21" s="237"/>
      <c r="B21" s="184"/>
      <c r="C21" s="238"/>
      <c r="D21" s="237"/>
      <c r="E21" s="236"/>
      <c r="F21" s="216"/>
      <c r="G21" s="239"/>
      <c r="H21" s="205"/>
      <c r="I21" s="205"/>
      <c r="J21" s="205"/>
      <c r="K21" s="203"/>
      <c r="L21" s="162" t="s">
        <v>34</v>
      </c>
      <c r="M21" s="257" t="s">
        <v>207</v>
      </c>
      <c r="N21" s="123" t="s">
        <v>92</v>
      </c>
      <c r="O21" s="120">
        <v>2</v>
      </c>
      <c r="P21" s="118">
        <f t="shared" si="0"/>
        <v>2</v>
      </c>
      <c r="Q21" s="118">
        <f t="shared" si="1"/>
        <v>2</v>
      </c>
      <c r="R21" s="118">
        <f t="shared" si="1"/>
        <v>2</v>
      </c>
      <c r="S21" s="81" t="s">
        <v>57</v>
      </c>
      <c r="T21" s="5"/>
      <c r="U21" s="98"/>
      <c r="V21" s="60"/>
      <c r="W21" s="61"/>
      <c r="X21" s="60"/>
      <c r="Y21" s="60"/>
      <c r="Z21" s="60"/>
      <c r="AA21" s="60"/>
      <c r="AB21" s="60"/>
    </row>
    <row r="22" spans="1:28" ht="14.25" customHeight="1" x14ac:dyDescent="0.2">
      <c r="A22" s="237"/>
      <c r="B22" s="184"/>
      <c r="C22" s="238"/>
      <c r="D22" s="237"/>
      <c r="E22" s="236"/>
      <c r="F22" s="216"/>
      <c r="G22" s="239"/>
      <c r="H22" s="205"/>
      <c r="I22" s="205"/>
      <c r="J22" s="205"/>
      <c r="K22" s="203"/>
      <c r="L22" s="162" t="s">
        <v>37</v>
      </c>
      <c r="M22" s="257" t="s">
        <v>208</v>
      </c>
      <c r="N22" s="121" t="s">
        <v>90</v>
      </c>
      <c r="O22" s="118">
        <v>2</v>
      </c>
      <c r="P22" s="118">
        <f t="shared" si="0"/>
        <v>2</v>
      </c>
      <c r="Q22" s="118">
        <f t="shared" si="1"/>
        <v>2</v>
      </c>
      <c r="R22" s="118">
        <f t="shared" si="1"/>
        <v>2</v>
      </c>
      <c r="S22" s="62" t="s">
        <v>57</v>
      </c>
      <c r="T22" s="5"/>
      <c r="U22" s="98"/>
      <c r="V22" s="61"/>
      <c r="W22" s="61"/>
      <c r="X22" s="60"/>
      <c r="Y22" s="60"/>
      <c r="Z22" s="60"/>
      <c r="AA22" s="60"/>
      <c r="AB22" s="60"/>
    </row>
    <row r="23" spans="1:28" ht="14.25" customHeight="1" x14ac:dyDescent="0.2">
      <c r="A23" s="237"/>
      <c r="B23" s="184"/>
      <c r="C23" s="238"/>
      <c r="D23" s="237"/>
      <c r="E23" s="236"/>
      <c r="F23" s="216"/>
      <c r="G23" s="239"/>
      <c r="H23" s="205"/>
      <c r="I23" s="205"/>
      <c r="J23" s="205"/>
      <c r="K23" s="203"/>
      <c r="L23" s="162" t="s">
        <v>125</v>
      </c>
      <c r="M23" s="257" t="s">
        <v>209</v>
      </c>
      <c r="N23" s="121" t="s">
        <v>103</v>
      </c>
      <c r="O23" s="118">
        <v>40</v>
      </c>
      <c r="P23" s="118">
        <f t="shared" si="0"/>
        <v>40</v>
      </c>
      <c r="Q23" s="118">
        <f t="shared" si="1"/>
        <v>40</v>
      </c>
      <c r="R23" s="118">
        <f t="shared" si="1"/>
        <v>40</v>
      </c>
      <c r="S23" s="62" t="s">
        <v>57</v>
      </c>
      <c r="T23" s="5"/>
    </row>
    <row r="24" spans="1:28" ht="14.25" customHeight="1" x14ac:dyDescent="0.2">
      <c r="A24" s="237"/>
      <c r="B24" s="185"/>
      <c r="C24" s="238"/>
      <c r="D24" s="237"/>
      <c r="E24" s="236"/>
      <c r="F24" s="216"/>
      <c r="G24" s="239"/>
      <c r="H24" s="206"/>
      <c r="I24" s="206"/>
      <c r="J24" s="206"/>
      <c r="K24" s="204"/>
      <c r="L24" s="158" t="s">
        <v>128</v>
      </c>
      <c r="M24" s="257" t="s">
        <v>210</v>
      </c>
      <c r="N24" s="121" t="s">
        <v>211</v>
      </c>
      <c r="O24" s="118">
        <v>40</v>
      </c>
      <c r="P24" s="118">
        <f t="shared" si="0"/>
        <v>40</v>
      </c>
      <c r="Q24" s="118">
        <f t="shared" si="1"/>
        <v>40</v>
      </c>
      <c r="R24" s="118">
        <f t="shared" si="1"/>
        <v>40</v>
      </c>
      <c r="S24" s="62" t="s">
        <v>57</v>
      </c>
      <c r="T24" s="5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tabSelected="1" view="pageLayout" topLeftCell="E31" zoomScale="145" zoomScaleNormal="100" zoomScalePageLayoutView="145" workbookViewId="0">
      <selection activeCell="Q19" sqref="Q19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173" t="s">
        <v>0</v>
      </c>
      <c r="B6" s="174"/>
      <c r="C6" s="174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4"/>
      <c r="S6" s="54"/>
      <c r="T6" s="15" t="s">
        <v>15</v>
      </c>
    </row>
    <row r="7" spans="1:20" ht="50.25" customHeight="1" x14ac:dyDescent="0.2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4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3.5" customHeight="1" x14ac:dyDescent="0.2">
      <c r="A8" s="175" t="s">
        <v>23</v>
      </c>
      <c r="B8" s="178">
        <v>20</v>
      </c>
      <c r="C8" s="178">
        <v>1</v>
      </c>
      <c r="D8" s="175" t="s">
        <v>60</v>
      </c>
      <c r="E8" s="207" t="s">
        <v>212</v>
      </c>
      <c r="F8" s="192" t="s">
        <v>25</v>
      </c>
      <c r="G8" s="178">
        <f>F8*C8</f>
        <v>1</v>
      </c>
      <c r="H8" s="175" t="s">
        <v>26</v>
      </c>
      <c r="I8" s="240" t="s">
        <v>213</v>
      </c>
      <c r="J8" s="175">
        <v>1</v>
      </c>
      <c r="K8" s="178">
        <f>J8*G8</f>
        <v>1</v>
      </c>
      <c r="L8" s="162" t="s">
        <v>25</v>
      </c>
      <c r="M8" s="249" t="s">
        <v>213</v>
      </c>
      <c r="N8" s="106" t="s">
        <v>214</v>
      </c>
      <c r="O8" s="106">
        <v>1</v>
      </c>
      <c r="P8" s="107">
        <f>O8*$F$8</f>
        <v>1</v>
      </c>
      <c r="Q8" s="107">
        <f>P8*$C$8</f>
        <v>1</v>
      </c>
      <c r="R8" s="108">
        <f>Q8*0.51</f>
        <v>0.51</v>
      </c>
      <c r="S8" s="22" t="s">
        <v>30</v>
      </c>
      <c r="T8" s="39"/>
    </row>
    <row r="9" spans="1:20" ht="13.5" customHeight="1" x14ac:dyDescent="0.2">
      <c r="A9" s="176"/>
      <c r="B9" s="171"/>
      <c r="C9" s="171"/>
      <c r="D9" s="176"/>
      <c r="E9" s="207"/>
      <c r="F9" s="193"/>
      <c r="G9" s="171"/>
      <c r="H9" s="176"/>
      <c r="I9" s="234"/>
      <c r="J9" s="176"/>
      <c r="K9" s="171"/>
      <c r="L9" s="162" t="s">
        <v>31</v>
      </c>
      <c r="M9" s="258" t="s">
        <v>215</v>
      </c>
      <c r="N9" s="109" t="s">
        <v>216</v>
      </c>
      <c r="O9" s="109">
        <v>2</v>
      </c>
      <c r="P9" s="107">
        <f t="shared" ref="P9:P25" si="0">O9*$F$8</f>
        <v>2</v>
      </c>
      <c r="Q9" s="107">
        <f t="shared" ref="Q9:R25" si="1">P9*$C$8</f>
        <v>2</v>
      </c>
      <c r="R9" s="107">
        <f t="shared" si="1"/>
        <v>2</v>
      </c>
      <c r="S9" s="22" t="s">
        <v>57</v>
      </c>
      <c r="T9" s="39"/>
    </row>
    <row r="10" spans="1:20" ht="13.5" customHeight="1" x14ac:dyDescent="0.2">
      <c r="A10" s="176"/>
      <c r="B10" s="171"/>
      <c r="C10" s="171"/>
      <c r="D10" s="176"/>
      <c r="E10" s="207"/>
      <c r="F10" s="193"/>
      <c r="G10" s="171"/>
      <c r="H10" s="176"/>
      <c r="I10" s="234"/>
      <c r="J10" s="176"/>
      <c r="K10" s="171"/>
      <c r="L10" s="162" t="s">
        <v>34</v>
      </c>
      <c r="M10" s="258" t="s">
        <v>217</v>
      </c>
      <c r="N10" s="109" t="s">
        <v>218</v>
      </c>
      <c r="O10" s="109">
        <v>1</v>
      </c>
      <c r="P10" s="107">
        <f t="shared" si="0"/>
        <v>1</v>
      </c>
      <c r="Q10" s="107">
        <f t="shared" si="1"/>
        <v>1</v>
      </c>
      <c r="R10" s="107">
        <f t="shared" si="1"/>
        <v>1</v>
      </c>
      <c r="S10" s="22" t="s">
        <v>57</v>
      </c>
      <c r="T10" s="39"/>
    </row>
    <row r="11" spans="1:20" ht="13.5" customHeight="1" x14ac:dyDescent="0.2">
      <c r="A11" s="176"/>
      <c r="B11" s="171"/>
      <c r="C11" s="171"/>
      <c r="D11" s="176"/>
      <c r="E11" s="207"/>
      <c r="F11" s="193"/>
      <c r="G11" s="171"/>
      <c r="H11" s="176"/>
      <c r="I11" s="234"/>
      <c r="J11" s="176"/>
      <c r="K11" s="171"/>
      <c r="L11" s="162" t="s">
        <v>37</v>
      </c>
      <c r="M11" s="258" t="s">
        <v>219</v>
      </c>
      <c r="N11" s="109" t="s">
        <v>99</v>
      </c>
      <c r="O11" s="109">
        <v>1</v>
      </c>
      <c r="P11" s="107">
        <f t="shared" si="0"/>
        <v>1</v>
      </c>
      <c r="Q11" s="107">
        <f t="shared" si="1"/>
        <v>1</v>
      </c>
      <c r="R11" s="107">
        <f t="shared" si="1"/>
        <v>1</v>
      </c>
      <c r="S11" s="22" t="s">
        <v>57</v>
      </c>
      <c r="T11" s="39"/>
    </row>
    <row r="12" spans="1:20" ht="13.5" customHeight="1" thickBot="1" x14ac:dyDescent="0.25">
      <c r="A12" s="176"/>
      <c r="B12" s="171"/>
      <c r="C12" s="171"/>
      <c r="D12" s="176"/>
      <c r="E12" s="207"/>
      <c r="F12" s="193"/>
      <c r="G12" s="171"/>
      <c r="H12" s="191"/>
      <c r="I12" s="241"/>
      <c r="J12" s="191"/>
      <c r="K12" s="172"/>
      <c r="L12" s="164" t="s">
        <v>125</v>
      </c>
      <c r="M12" s="267" t="s">
        <v>220</v>
      </c>
      <c r="N12" s="110" t="s">
        <v>221</v>
      </c>
      <c r="O12" s="110">
        <v>2</v>
      </c>
      <c r="P12" s="111">
        <f t="shared" si="0"/>
        <v>2</v>
      </c>
      <c r="Q12" s="111">
        <f t="shared" si="1"/>
        <v>2</v>
      </c>
      <c r="R12" s="111">
        <f t="shared" si="1"/>
        <v>2</v>
      </c>
      <c r="S12" s="26" t="s">
        <v>57</v>
      </c>
      <c r="T12" s="41"/>
    </row>
    <row r="13" spans="1:20" ht="13.5" customHeight="1" x14ac:dyDescent="0.2">
      <c r="A13" s="176"/>
      <c r="B13" s="171"/>
      <c r="C13" s="171"/>
      <c r="D13" s="176"/>
      <c r="E13" s="207"/>
      <c r="F13" s="193"/>
      <c r="G13" s="171"/>
      <c r="H13" s="161" t="s">
        <v>67</v>
      </c>
      <c r="I13" s="28" t="s">
        <v>222</v>
      </c>
      <c r="J13" s="161" t="s">
        <v>67</v>
      </c>
      <c r="K13" s="159" t="s">
        <v>67</v>
      </c>
      <c r="L13" s="157" t="s">
        <v>25</v>
      </c>
      <c r="M13" s="259" t="s">
        <v>222</v>
      </c>
      <c r="N13" s="28" t="s">
        <v>223</v>
      </c>
      <c r="O13" s="112">
        <v>1</v>
      </c>
      <c r="P13" s="113">
        <f t="shared" si="0"/>
        <v>1</v>
      </c>
      <c r="Q13" s="113">
        <f t="shared" si="1"/>
        <v>1</v>
      </c>
      <c r="R13" s="114">
        <f>1.5*Q13</f>
        <v>1.5</v>
      </c>
      <c r="S13" s="25" t="s">
        <v>30</v>
      </c>
      <c r="T13" s="40"/>
    </row>
    <row r="14" spans="1:20" ht="13.5" customHeight="1" x14ac:dyDescent="0.2">
      <c r="A14" s="176"/>
      <c r="B14" s="171"/>
      <c r="C14" s="171"/>
      <c r="D14" s="176"/>
      <c r="E14" s="207"/>
      <c r="F14" s="193"/>
      <c r="G14" s="171"/>
      <c r="H14" s="163" t="s">
        <v>67</v>
      </c>
      <c r="I14" s="8" t="s">
        <v>224</v>
      </c>
      <c r="J14" s="163" t="s">
        <v>67</v>
      </c>
      <c r="K14" s="104" t="s">
        <v>67</v>
      </c>
      <c r="L14" s="162" t="s">
        <v>31</v>
      </c>
      <c r="M14" s="249" t="s">
        <v>224</v>
      </c>
      <c r="N14" s="106" t="s">
        <v>225</v>
      </c>
      <c r="O14" s="106">
        <v>1</v>
      </c>
      <c r="P14" s="107">
        <f t="shared" si="0"/>
        <v>1</v>
      </c>
      <c r="Q14" s="107">
        <f t="shared" si="1"/>
        <v>1</v>
      </c>
      <c r="R14" s="108">
        <f>1.2*Q14</f>
        <v>1.2</v>
      </c>
      <c r="S14" s="22" t="s">
        <v>30</v>
      </c>
      <c r="T14" s="39"/>
    </row>
    <row r="15" spans="1:20" ht="13.5" customHeight="1" x14ac:dyDescent="0.2">
      <c r="A15" s="176"/>
      <c r="B15" s="171"/>
      <c r="C15" s="171"/>
      <c r="D15" s="176"/>
      <c r="E15" s="207"/>
      <c r="F15" s="193"/>
      <c r="G15" s="171"/>
      <c r="H15" s="163" t="s">
        <v>67</v>
      </c>
      <c r="I15" s="22" t="s">
        <v>226</v>
      </c>
      <c r="J15" s="163" t="s">
        <v>67</v>
      </c>
      <c r="K15" s="104" t="s">
        <v>67</v>
      </c>
      <c r="L15" s="162" t="s">
        <v>34</v>
      </c>
      <c r="M15" s="261" t="s">
        <v>226</v>
      </c>
      <c r="N15" s="124" t="s">
        <v>227</v>
      </c>
      <c r="O15" s="115">
        <v>1</v>
      </c>
      <c r="P15" s="107">
        <f t="shared" si="0"/>
        <v>1</v>
      </c>
      <c r="Q15" s="107">
        <f t="shared" si="1"/>
        <v>1</v>
      </c>
      <c r="R15" s="107">
        <f t="shared" si="1"/>
        <v>1</v>
      </c>
      <c r="S15" s="22" t="s">
        <v>57</v>
      </c>
      <c r="T15" s="39"/>
    </row>
    <row r="16" spans="1:20" ht="13.5" customHeight="1" thickBot="1" x14ac:dyDescent="0.25">
      <c r="A16" s="176"/>
      <c r="B16" s="171"/>
      <c r="C16" s="171"/>
      <c r="D16" s="176"/>
      <c r="E16" s="207"/>
      <c r="F16" s="193"/>
      <c r="G16" s="171"/>
      <c r="H16" s="44" t="s">
        <v>67</v>
      </c>
      <c r="I16" s="26" t="s">
        <v>228</v>
      </c>
      <c r="J16" s="44" t="s">
        <v>67</v>
      </c>
      <c r="K16" s="105" t="s">
        <v>67</v>
      </c>
      <c r="L16" s="164" t="s">
        <v>37</v>
      </c>
      <c r="M16" s="260" t="s">
        <v>228</v>
      </c>
      <c r="N16" s="27" t="s">
        <v>67</v>
      </c>
      <c r="O16" s="116">
        <v>1</v>
      </c>
      <c r="P16" s="111">
        <f t="shared" si="0"/>
        <v>1</v>
      </c>
      <c r="Q16" s="111">
        <f t="shared" si="1"/>
        <v>1</v>
      </c>
      <c r="R16" s="111">
        <f t="shared" si="1"/>
        <v>1</v>
      </c>
      <c r="S16" s="26" t="s">
        <v>57</v>
      </c>
      <c r="T16" s="41"/>
    </row>
    <row r="17" spans="1:20" ht="13.5" customHeight="1" x14ac:dyDescent="0.2">
      <c r="A17" s="176"/>
      <c r="B17" s="171"/>
      <c r="C17" s="171"/>
      <c r="D17" s="176"/>
      <c r="E17" s="207"/>
      <c r="F17" s="193"/>
      <c r="G17" s="171"/>
      <c r="H17" s="190" t="s">
        <v>40</v>
      </c>
      <c r="I17" s="233" t="s">
        <v>80</v>
      </c>
      <c r="J17" s="190" t="s">
        <v>25</v>
      </c>
      <c r="K17" s="170">
        <f>J17*G8</f>
        <v>1</v>
      </c>
      <c r="L17" s="158" t="s">
        <v>25</v>
      </c>
      <c r="M17" s="35" t="s">
        <v>229</v>
      </c>
      <c r="N17" s="34" t="s">
        <v>230</v>
      </c>
      <c r="O17" s="109">
        <v>1</v>
      </c>
      <c r="P17" s="117">
        <f t="shared" si="0"/>
        <v>1</v>
      </c>
      <c r="Q17" s="117">
        <f t="shared" si="1"/>
        <v>1</v>
      </c>
      <c r="R17" s="117">
        <f t="shared" si="1"/>
        <v>1</v>
      </c>
      <c r="S17" s="33" t="s">
        <v>57</v>
      </c>
      <c r="T17" s="40"/>
    </row>
    <row r="18" spans="1:20" ht="13.5" customHeight="1" x14ac:dyDescent="0.2">
      <c r="A18" s="176"/>
      <c r="B18" s="171"/>
      <c r="C18" s="171"/>
      <c r="D18" s="176"/>
      <c r="E18" s="207"/>
      <c r="F18" s="193"/>
      <c r="G18" s="171"/>
      <c r="H18" s="176"/>
      <c r="I18" s="234"/>
      <c r="J18" s="176"/>
      <c r="K18" s="171"/>
      <c r="L18" s="162" t="s">
        <v>31</v>
      </c>
      <c r="M18" s="31" t="s">
        <v>231</v>
      </c>
      <c r="N18" s="36" t="s">
        <v>230</v>
      </c>
      <c r="O18" s="109">
        <v>2</v>
      </c>
      <c r="P18" s="107">
        <f t="shared" si="0"/>
        <v>2</v>
      </c>
      <c r="Q18" s="107">
        <f t="shared" si="1"/>
        <v>2</v>
      </c>
      <c r="R18" s="107">
        <f t="shared" si="1"/>
        <v>2</v>
      </c>
      <c r="S18" s="22" t="s">
        <v>57</v>
      </c>
      <c r="T18" s="39"/>
    </row>
    <row r="19" spans="1:20" ht="13.5" customHeight="1" x14ac:dyDescent="0.2">
      <c r="A19" s="176"/>
      <c r="B19" s="171"/>
      <c r="C19" s="171"/>
      <c r="D19" s="176"/>
      <c r="E19" s="207"/>
      <c r="F19" s="193"/>
      <c r="G19" s="171"/>
      <c r="H19" s="176"/>
      <c r="I19" s="234"/>
      <c r="J19" s="176"/>
      <c r="K19" s="171"/>
      <c r="L19" s="162" t="s">
        <v>34</v>
      </c>
      <c r="M19" s="31" t="s">
        <v>232</v>
      </c>
      <c r="N19" s="36" t="s">
        <v>230</v>
      </c>
      <c r="O19" s="109">
        <v>1</v>
      </c>
      <c r="P19" s="107">
        <f t="shared" si="0"/>
        <v>1</v>
      </c>
      <c r="Q19" s="107">
        <f t="shared" si="1"/>
        <v>1</v>
      </c>
      <c r="R19" s="107">
        <f t="shared" si="1"/>
        <v>1</v>
      </c>
      <c r="S19" s="22" t="s">
        <v>57</v>
      </c>
      <c r="T19" s="39"/>
    </row>
    <row r="20" spans="1:20" ht="13.5" customHeight="1" x14ac:dyDescent="0.2">
      <c r="A20" s="176"/>
      <c r="B20" s="171"/>
      <c r="C20" s="171"/>
      <c r="D20" s="176"/>
      <c r="E20" s="207"/>
      <c r="F20" s="193"/>
      <c r="G20" s="171"/>
      <c r="H20" s="176"/>
      <c r="I20" s="234"/>
      <c r="J20" s="176"/>
      <c r="K20" s="171"/>
      <c r="L20" s="162" t="s">
        <v>37</v>
      </c>
      <c r="M20" s="31" t="s">
        <v>233</v>
      </c>
      <c r="N20" s="36" t="s">
        <v>230</v>
      </c>
      <c r="O20" s="109">
        <v>1</v>
      </c>
      <c r="P20" s="107">
        <f t="shared" si="0"/>
        <v>1</v>
      </c>
      <c r="Q20" s="107">
        <f t="shared" si="1"/>
        <v>1</v>
      </c>
      <c r="R20" s="107">
        <f t="shared" si="1"/>
        <v>1</v>
      </c>
      <c r="S20" s="22" t="s">
        <v>57</v>
      </c>
      <c r="T20" s="39"/>
    </row>
    <row r="21" spans="1:20" ht="13.5" customHeight="1" x14ac:dyDescent="0.2">
      <c r="A21" s="176"/>
      <c r="B21" s="171"/>
      <c r="C21" s="171"/>
      <c r="D21" s="176"/>
      <c r="E21" s="207"/>
      <c r="F21" s="193"/>
      <c r="G21" s="171"/>
      <c r="H21" s="176"/>
      <c r="I21" s="234"/>
      <c r="J21" s="176"/>
      <c r="K21" s="171"/>
      <c r="L21" s="162" t="s">
        <v>125</v>
      </c>
      <c r="M21" s="257" t="s">
        <v>234</v>
      </c>
      <c r="N21" s="121" t="s">
        <v>92</v>
      </c>
      <c r="O21" s="106">
        <v>2</v>
      </c>
      <c r="P21" s="107">
        <f t="shared" si="0"/>
        <v>2</v>
      </c>
      <c r="Q21" s="107">
        <f t="shared" si="1"/>
        <v>2</v>
      </c>
      <c r="R21" s="107">
        <f t="shared" si="1"/>
        <v>2</v>
      </c>
      <c r="S21" s="22" t="s">
        <v>57</v>
      </c>
      <c r="T21" s="39"/>
    </row>
    <row r="22" spans="1:20" ht="13.5" customHeight="1" x14ac:dyDescent="0.2">
      <c r="A22" s="176"/>
      <c r="B22" s="171"/>
      <c r="C22" s="171"/>
      <c r="D22" s="176"/>
      <c r="E22" s="207"/>
      <c r="F22" s="193"/>
      <c r="G22" s="171"/>
      <c r="H22" s="176"/>
      <c r="I22" s="234"/>
      <c r="J22" s="176"/>
      <c r="K22" s="171"/>
      <c r="L22" s="157" t="s">
        <v>128</v>
      </c>
      <c r="M22" s="256" t="s">
        <v>235</v>
      </c>
      <c r="N22" s="123" t="s">
        <v>90</v>
      </c>
      <c r="O22" s="112">
        <v>1</v>
      </c>
      <c r="P22" s="113">
        <f t="shared" si="0"/>
        <v>1</v>
      </c>
      <c r="Q22" s="113">
        <f t="shared" si="1"/>
        <v>1</v>
      </c>
      <c r="R22" s="113">
        <f t="shared" si="1"/>
        <v>1</v>
      </c>
      <c r="S22" s="25" t="s">
        <v>57</v>
      </c>
      <c r="T22" s="39"/>
    </row>
    <row r="23" spans="1:20" ht="13.5" customHeight="1" x14ac:dyDescent="0.2">
      <c r="A23" s="176"/>
      <c r="B23" s="171"/>
      <c r="C23" s="171"/>
      <c r="D23" s="176"/>
      <c r="E23" s="207"/>
      <c r="F23" s="193"/>
      <c r="G23" s="171"/>
      <c r="H23" s="176"/>
      <c r="I23" s="234"/>
      <c r="J23" s="176"/>
      <c r="K23" s="171"/>
      <c r="L23" s="162" t="s">
        <v>139</v>
      </c>
      <c r="M23" s="257" t="s">
        <v>236</v>
      </c>
      <c r="N23" s="121" t="s">
        <v>95</v>
      </c>
      <c r="O23" s="106">
        <v>1</v>
      </c>
      <c r="P23" s="107">
        <f t="shared" si="0"/>
        <v>1</v>
      </c>
      <c r="Q23" s="107">
        <f t="shared" si="1"/>
        <v>1</v>
      </c>
      <c r="R23" s="107">
        <f t="shared" si="1"/>
        <v>1</v>
      </c>
      <c r="S23" s="22" t="s">
        <v>57</v>
      </c>
      <c r="T23" s="39"/>
    </row>
    <row r="24" spans="1:20" ht="13.5" customHeight="1" x14ac:dyDescent="0.2">
      <c r="A24" s="176"/>
      <c r="B24" s="171"/>
      <c r="C24" s="171"/>
      <c r="D24" s="176"/>
      <c r="E24" s="207"/>
      <c r="F24" s="193"/>
      <c r="G24" s="171"/>
      <c r="H24" s="176"/>
      <c r="I24" s="234"/>
      <c r="J24" s="176"/>
      <c r="K24" s="171"/>
      <c r="L24" s="162" t="s">
        <v>142</v>
      </c>
      <c r="M24" s="257" t="s">
        <v>237</v>
      </c>
      <c r="N24" s="121" t="s">
        <v>95</v>
      </c>
      <c r="O24" s="115">
        <v>1</v>
      </c>
      <c r="P24" s="107">
        <f t="shared" si="0"/>
        <v>1</v>
      </c>
      <c r="Q24" s="107">
        <f t="shared" si="1"/>
        <v>1</v>
      </c>
      <c r="R24" s="107">
        <f t="shared" si="1"/>
        <v>1</v>
      </c>
      <c r="S24" s="22" t="s">
        <v>57</v>
      </c>
      <c r="T24" s="39"/>
    </row>
    <row r="25" spans="1:20" ht="13.5" customHeight="1" x14ac:dyDescent="0.2">
      <c r="A25" s="177"/>
      <c r="B25" s="179"/>
      <c r="C25" s="179"/>
      <c r="D25" s="177"/>
      <c r="E25" s="207"/>
      <c r="F25" s="194"/>
      <c r="G25" s="179"/>
      <c r="H25" s="177"/>
      <c r="I25" s="235"/>
      <c r="J25" s="177"/>
      <c r="K25" s="179"/>
      <c r="L25" s="162" t="s">
        <v>145</v>
      </c>
      <c r="M25" s="36" t="s">
        <v>238</v>
      </c>
      <c r="N25" s="36" t="s">
        <v>230</v>
      </c>
      <c r="O25" s="115">
        <v>1</v>
      </c>
      <c r="P25" s="107">
        <f t="shared" si="0"/>
        <v>1</v>
      </c>
      <c r="Q25" s="107">
        <f t="shared" si="1"/>
        <v>1</v>
      </c>
      <c r="R25" s="107">
        <f t="shared" si="1"/>
        <v>1</v>
      </c>
      <c r="S25" s="22" t="s">
        <v>57</v>
      </c>
      <c r="T25" s="39"/>
    </row>
    <row r="26" spans="1:20" ht="15" thickBot="1" x14ac:dyDescent="0.25"/>
    <row r="27" spans="1:20" ht="15" thickBot="1" x14ac:dyDescent="0.25">
      <c r="N27" s="156" t="s">
        <v>22</v>
      </c>
    </row>
  </sheetData>
  <mergeCells count="16">
    <mergeCell ref="F8:F25"/>
    <mergeCell ref="G8:G25"/>
    <mergeCell ref="H8:H12"/>
    <mergeCell ref="I8:I12"/>
    <mergeCell ref="J8:J12"/>
    <mergeCell ref="K8:K12"/>
    <mergeCell ref="H17:H25"/>
    <mergeCell ref="I17:I25"/>
    <mergeCell ref="J17:J25"/>
    <mergeCell ref="K17:K25"/>
    <mergeCell ref="E8:E25"/>
    <mergeCell ref="A6:C6"/>
    <mergeCell ref="A8:A25"/>
    <mergeCell ref="B8:B25"/>
    <mergeCell ref="C8:C25"/>
    <mergeCell ref="D8:D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2019-03-10T06:18:07Z</dcterms:modified>
</cp:coreProperties>
</file>