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110" firstSheet="2" activeTab="6"/>
  </bookViews>
  <sheets>
    <sheet name="Vacuum Cleaner 3400" sheetId="60" r:id="rId1"/>
    <sheet name="Dust Collector" sheetId="59" r:id="rId2"/>
    <sheet name="درام روتاری" sheetId="54" r:id="rId3"/>
    <sheet name="پایه ثابت روتاری" sheetId="55" r:id="rId4"/>
    <sheet name="پایه متحرک روتاری" sheetId="56" r:id="rId5"/>
    <sheet name="قاب روتاری" sheetId="57" r:id="rId6"/>
    <sheet name="سیستم محرک روتاری" sheetId="58" r:id="rId7"/>
    <sheet name="Insurment" sheetId="51" r:id="rId8"/>
    <sheet name="Fan Case" sheetId="50" r:id="rId9"/>
    <sheet name="Damper" sheetId="49" r:id="rId10"/>
    <sheet name="Coil" sheetId="48" r:id="rId11"/>
    <sheet name="Static Water Filter" sheetId="47" r:id="rId12"/>
    <sheet name="Pumping" sheetId="46" r:id="rId13"/>
    <sheet name="Ventilatin Door" sheetId="45" r:id="rId14"/>
    <sheet name="Nozzle Bank" sheetId="44" r:id="rId15"/>
    <sheet name="Eliminator" sheetId="42" r:id="rId16"/>
    <sheet name="Air Baffle" sheetId="14" r:id="rId17"/>
  </sheets>
  <calcPr calcId="152511"/>
</workbook>
</file>

<file path=xl/calcChain.xml><?xml version="1.0" encoding="utf-8"?>
<calcChain xmlns="http://schemas.openxmlformats.org/spreadsheetml/2006/main">
  <c r="O13" i="60" l="1"/>
  <c r="P13" i="60" s="1"/>
  <c r="O12" i="60"/>
  <c r="P12" i="60" s="1"/>
  <c r="O11" i="60"/>
  <c r="P11" i="60" s="1"/>
  <c r="O10" i="60"/>
  <c r="P10" i="60" s="1"/>
  <c r="O9" i="60"/>
  <c r="P9" i="60" s="1"/>
  <c r="O8" i="60"/>
  <c r="P8" i="60" s="1"/>
  <c r="F8" i="60"/>
  <c r="J12" i="60" s="1"/>
  <c r="J8" i="60" l="1"/>
  <c r="P125" i="59"/>
  <c r="P124" i="59"/>
  <c r="P123" i="59"/>
  <c r="P122" i="59"/>
  <c r="J122" i="59"/>
  <c r="P121" i="59"/>
  <c r="P120" i="59"/>
  <c r="P119" i="59"/>
  <c r="P118" i="59"/>
  <c r="J118" i="59"/>
  <c r="P117" i="59"/>
  <c r="P116" i="59"/>
  <c r="P115" i="59"/>
  <c r="P114" i="59"/>
  <c r="P113" i="59"/>
  <c r="P112" i="59"/>
  <c r="P111" i="59"/>
  <c r="P110" i="59"/>
  <c r="P109" i="59"/>
  <c r="J109" i="59"/>
  <c r="P108" i="59"/>
  <c r="F108" i="59"/>
  <c r="P95" i="59"/>
  <c r="P94" i="59"/>
  <c r="P93" i="59"/>
  <c r="P92" i="59"/>
  <c r="J92" i="59"/>
  <c r="P91" i="59"/>
  <c r="P90" i="59"/>
  <c r="P89" i="59"/>
  <c r="J89" i="59"/>
  <c r="P88" i="59"/>
  <c r="P87" i="59"/>
  <c r="P86" i="59"/>
  <c r="P85" i="59"/>
  <c r="P84" i="59"/>
  <c r="P83" i="59"/>
  <c r="P82" i="59"/>
  <c r="P81" i="59"/>
  <c r="P80" i="59"/>
  <c r="P79" i="59"/>
  <c r="P78" i="59"/>
  <c r="P77" i="59"/>
  <c r="P76" i="59"/>
  <c r="P75" i="59"/>
  <c r="P74" i="59"/>
  <c r="P73" i="59"/>
  <c r="P72" i="59"/>
  <c r="P71" i="59"/>
  <c r="P70" i="59"/>
  <c r="P69" i="59"/>
  <c r="J69" i="59"/>
  <c r="F69" i="59"/>
  <c r="P47" i="59"/>
  <c r="P46" i="59"/>
  <c r="P45" i="59"/>
  <c r="O44" i="59"/>
  <c r="P44" i="59" s="1"/>
  <c r="P43" i="59"/>
  <c r="J43" i="59"/>
  <c r="P42" i="59"/>
  <c r="O41" i="59"/>
  <c r="P41" i="59" s="1"/>
  <c r="O40" i="59"/>
  <c r="P40" i="59" s="1"/>
  <c r="J40" i="59"/>
  <c r="F40" i="59"/>
  <c r="P19" i="59"/>
  <c r="P18" i="59"/>
  <c r="P17" i="59"/>
  <c r="P16" i="59"/>
  <c r="O15" i="59"/>
  <c r="P15" i="59" s="1"/>
  <c r="O14" i="59"/>
  <c r="P14" i="59" s="1"/>
  <c r="O13" i="59"/>
  <c r="P13" i="59" s="1"/>
  <c r="O12" i="59"/>
  <c r="P12" i="59" s="1"/>
  <c r="O11" i="59"/>
  <c r="P11" i="59" s="1"/>
  <c r="O10" i="59"/>
  <c r="P10" i="59" s="1"/>
  <c r="O9" i="59"/>
  <c r="P9" i="59" s="1"/>
  <c r="O8" i="59"/>
  <c r="P8" i="59" s="1"/>
  <c r="J8" i="59"/>
  <c r="F8" i="59"/>
  <c r="P26" i="58" l="1"/>
  <c r="Q26" i="58" s="1"/>
  <c r="R26" i="58" s="1"/>
  <c r="Q25" i="58"/>
  <c r="R25" i="58" s="1"/>
  <c r="P25" i="58"/>
  <c r="P24" i="58"/>
  <c r="Q24" i="58" s="1"/>
  <c r="R24" i="58" s="1"/>
  <c r="Q23" i="58"/>
  <c r="R23" i="58" s="1"/>
  <c r="P23" i="58"/>
  <c r="P22" i="58"/>
  <c r="Q22" i="58" s="1"/>
  <c r="R22" i="58" s="1"/>
  <c r="R21" i="58"/>
  <c r="Q21" i="58"/>
  <c r="P21" i="58"/>
  <c r="R20" i="58"/>
  <c r="Q20" i="58"/>
  <c r="P20" i="58"/>
  <c r="Q19" i="58"/>
  <c r="R19" i="58" s="1"/>
  <c r="P19" i="58"/>
  <c r="P18" i="58"/>
  <c r="Q18" i="58" s="1"/>
  <c r="R18" i="58" s="1"/>
  <c r="R17" i="58"/>
  <c r="Q17" i="58"/>
  <c r="P17" i="58"/>
  <c r="R16" i="58"/>
  <c r="Q16" i="58"/>
  <c r="P16" i="58"/>
  <c r="Q15" i="58"/>
  <c r="R15" i="58" s="1"/>
  <c r="P15" i="58"/>
  <c r="P14" i="58"/>
  <c r="Q14" i="58" s="1"/>
  <c r="R14" i="58" s="1"/>
  <c r="R13" i="58"/>
  <c r="Q13" i="58"/>
  <c r="P13" i="58"/>
  <c r="R12" i="58"/>
  <c r="Q12" i="58"/>
  <c r="P12" i="58"/>
  <c r="Q11" i="58"/>
  <c r="R11" i="58" s="1"/>
  <c r="P11" i="58"/>
  <c r="P10" i="58"/>
  <c r="Q10" i="58" s="1"/>
  <c r="R10" i="58" s="1"/>
  <c r="R9" i="58"/>
  <c r="Q9" i="58"/>
  <c r="P9" i="58"/>
  <c r="R8" i="58"/>
  <c r="Q8" i="58"/>
  <c r="P8" i="58"/>
  <c r="K8" i="58"/>
  <c r="B8" i="58"/>
  <c r="R24" i="57"/>
  <c r="Q24" i="57"/>
  <c r="P24" i="57"/>
  <c r="R23" i="57"/>
  <c r="Q23" i="57"/>
  <c r="P23" i="57"/>
  <c r="Q22" i="57"/>
  <c r="R22" i="57" s="1"/>
  <c r="P22" i="57"/>
  <c r="P21" i="57"/>
  <c r="Q21" i="57" s="1"/>
  <c r="R21" i="57" s="1"/>
  <c r="R20" i="57"/>
  <c r="Q20" i="57"/>
  <c r="P20" i="57"/>
  <c r="R19" i="57"/>
  <c r="Q19" i="57"/>
  <c r="P19" i="57"/>
  <c r="R18" i="57"/>
  <c r="Q18" i="57"/>
  <c r="P18" i="57"/>
  <c r="Q17" i="57"/>
  <c r="R17" i="57" s="1"/>
  <c r="P17" i="57"/>
  <c r="K17" i="57"/>
  <c r="Q15" i="57"/>
  <c r="P15" i="57"/>
  <c r="P14" i="57"/>
  <c r="Q14" i="57" s="1"/>
  <c r="Q13" i="57"/>
  <c r="P13" i="57"/>
  <c r="R12" i="57"/>
  <c r="Q12" i="57"/>
  <c r="P12" i="57"/>
  <c r="Q11" i="57"/>
  <c r="P11" i="57"/>
  <c r="P10" i="57"/>
  <c r="Q10" i="57" s="1"/>
  <c r="Q9" i="57"/>
  <c r="P9" i="57"/>
  <c r="R8" i="57"/>
  <c r="Q8" i="57"/>
  <c r="R14" i="57" s="1"/>
  <c r="P8" i="57"/>
  <c r="G8" i="57"/>
  <c r="K19" i="57" s="1"/>
  <c r="B8" i="57"/>
  <c r="O16" i="57" s="1"/>
  <c r="P16" i="57" s="1"/>
  <c r="Q16" i="57" s="1"/>
  <c r="R16" i="57" s="1"/>
  <c r="P49" i="56"/>
  <c r="Q49" i="56" s="1"/>
  <c r="R49" i="56" s="1"/>
  <c r="P48" i="56"/>
  <c r="Q48" i="56" s="1"/>
  <c r="R48" i="56" s="1"/>
  <c r="P47" i="56"/>
  <c r="Q47" i="56" s="1"/>
  <c r="R47" i="56" s="1"/>
  <c r="P46" i="56"/>
  <c r="Q46" i="56" s="1"/>
  <c r="R46" i="56" s="1"/>
  <c r="P45" i="56"/>
  <c r="Q45" i="56" s="1"/>
  <c r="R45" i="56" s="1"/>
  <c r="P44" i="56"/>
  <c r="Q44" i="56" s="1"/>
  <c r="R44" i="56" s="1"/>
  <c r="Q43" i="56"/>
  <c r="R43" i="56" s="1"/>
  <c r="P43" i="56"/>
  <c r="P42" i="56"/>
  <c r="Q42" i="56" s="1"/>
  <c r="R42" i="56" s="1"/>
  <c r="Q41" i="56"/>
  <c r="R41" i="56" s="1"/>
  <c r="P41" i="56"/>
  <c r="P40" i="56"/>
  <c r="Q40" i="56" s="1"/>
  <c r="R40" i="56" s="1"/>
  <c r="P39" i="56"/>
  <c r="Q39" i="56" s="1"/>
  <c r="R39" i="56" s="1"/>
  <c r="P38" i="56"/>
  <c r="Q38" i="56" s="1"/>
  <c r="R38" i="56" s="1"/>
  <c r="P37" i="56"/>
  <c r="Q37" i="56" s="1"/>
  <c r="R37" i="56" s="1"/>
  <c r="G37" i="56"/>
  <c r="B37" i="56"/>
  <c r="P23" i="56"/>
  <c r="Q23" i="56" s="1"/>
  <c r="R23" i="56" s="1"/>
  <c r="P22" i="56"/>
  <c r="Q22" i="56" s="1"/>
  <c r="R22" i="56" s="1"/>
  <c r="P21" i="56"/>
  <c r="Q21" i="56" s="1"/>
  <c r="R21" i="56" s="1"/>
  <c r="Q20" i="56"/>
  <c r="R20" i="56" s="1"/>
  <c r="P20" i="56"/>
  <c r="P19" i="56"/>
  <c r="Q19" i="56" s="1"/>
  <c r="R19" i="56" s="1"/>
  <c r="P18" i="56"/>
  <c r="Q18" i="56" s="1"/>
  <c r="P17" i="56"/>
  <c r="Q17" i="56" s="1"/>
  <c r="Q16" i="56"/>
  <c r="R16" i="56" s="1"/>
  <c r="P16" i="56"/>
  <c r="P15" i="56"/>
  <c r="Q15" i="56" s="1"/>
  <c r="R15" i="56" s="1"/>
  <c r="P14" i="56"/>
  <c r="Q14" i="56" s="1"/>
  <c r="R14" i="56" s="1"/>
  <c r="P13" i="56"/>
  <c r="Q13" i="56" s="1"/>
  <c r="P12" i="56"/>
  <c r="Q12" i="56" s="1"/>
  <c r="P11" i="56"/>
  <c r="Q11" i="56" s="1"/>
  <c r="P10" i="56"/>
  <c r="Q10" i="56" s="1"/>
  <c r="R10" i="56" s="1"/>
  <c r="Q9" i="56"/>
  <c r="R9" i="56" s="1"/>
  <c r="P9" i="56"/>
  <c r="P8" i="56"/>
  <c r="Q8" i="56" s="1"/>
  <c r="R8" i="56" s="1"/>
  <c r="G8" i="56"/>
  <c r="K8" i="56" s="1"/>
  <c r="B8" i="56"/>
  <c r="N17" i="56" s="1"/>
  <c r="P18" i="55"/>
  <c r="Q18" i="55" s="1"/>
  <c r="R18" i="55" s="1"/>
  <c r="P17" i="55"/>
  <c r="Q17" i="55" s="1"/>
  <c r="R17" i="55" s="1"/>
  <c r="R16" i="55"/>
  <c r="Q16" i="55"/>
  <c r="P16" i="55"/>
  <c r="Q15" i="55"/>
  <c r="R15" i="55" s="1"/>
  <c r="P15" i="55"/>
  <c r="P14" i="55"/>
  <c r="Q14" i="55" s="1"/>
  <c r="R14" i="55" s="1"/>
  <c r="P13" i="55"/>
  <c r="Q13" i="55" s="1"/>
  <c r="R13" i="55" s="1"/>
  <c r="R12" i="55"/>
  <c r="Q12" i="55"/>
  <c r="P12" i="55"/>
  <c r="Q11" i="55"/>
  <c r="R11" i="55" s="1"/>
  <c r="P11" i="55"/>
  <c r="P10" i="55"/>
  <c r="Q10" i="55" s="1"/>
  <c r="P9" i="55"/>
  <c r="Q9" i="55" s="1"/>
  <c r="R9" i="55" s="1"/>
  <c r="R8" i="55"/>
  <c r="Q8" i="55"/>
  <c r="P8" i="55"/>
  <c r="G8" i="55"/>
  <c r="B8" i="55"/>
  <c r="R10" i="55" s="1"/>
  <c r="P57" i="54"/>
  <c r="Q57" i="54" s="1"/>
  <c r="R57" i="54" s="1"/>
  <c r="N57" i="54"/>
  <c r="P56" i="54"/>
  <c r="Q56" i="54" s="1"/>
  <c r="R56" i="54" s="1"/>
  <c r="P55" i="54"/>
  <c r="Q55" i="54" s="1"/>
  <c r="R55" i="54" s="1"/>
  <c r="O51" i="54"/>
  <c r="P51" i="54" s="1"/>
  <c r="Q51" i="54" s="1"/>
  <c r="R51" i="54" s="1"/>
  <c r="O43" i="54"/>
  <c r="P43" i="54" s="1"/>
  <c r="Q43" i="54" s="1"/>
  <c r="R43" i="54" s="1"/>
  <c r="G39" i="54"/>
  <c r="K43" i="54" s="1"/>
  <c r="P26" i="54"/>
  <c r="Q26" i="54" s="1"/>
  <c r="R26" i="54" s="1"/>
  <c r="O26" i="54"/>
  <c r="O39" i="54" s="1"/>
  <c r="N26" i="54"/>
  <c r="O25" i="54"/>
  <c r="P25" i="54" s="1"/>
  <c r="Q25" i="54" s="1"/>
  <c r="R25" i="54" s="1"/>
  <c r="O24" i="54"/>
  <c r="O46" i="54" s="1"/>
  <c r="Q23" i="54"/>
  <c r="R23" i="54" s="1"/>
  <c r="P23" i="54"/>
  <c r="N23" i="54"/>
  <c r="O22" i="54"/>
  <c r="P22" i="54" s="1"/>
  <c r="Q22" i="54" s="1"/>
  <c r="R22" i="54" s="1"/>
  <c r="N20" i="54"/>
  <c r="J20" i="54"/>
  <c r="O21" i="54" s="1"/>
  <c r="P21" i="54" s="1"/>
  <c r="Q21" i="54" s="1"/>
  <c r="R21" i="54" s="1"/>
  <c r="J18" i="54"/>
  <c r="O18" i="54" s="1"/>
  <c r="P17" i="54"/>
  <c r="Q17" i="54" s="1"/>
  <c r="R17" i="54" s="1"/>
  <c r="P16" i="54"/>
  <c r="Q16" i="54" s="1"/>
  <c r="R16" i="54" s="1"/>
  <c r="N16" i="54"/>
  <c r="O15" i="54"/>
  <c r="P15" i="54" s="1"/>
  <c r="Q15" i="54" s="1"/>
  <c r="R15" i="54" s="1"/>
  <c r="O14" i="54"/>
  <c r="P14" i="54" s="1"/>
  <c r="Q14" i="54" s="1"/>
  <c r="R14" i="54" s="1"/>
  <c r="P13" i="54"/>
  <c r="Q13" i="54" s="1"/>
  <c r="R13" i="54" s="1"/>
  <c r="P12" i="54"/>
  <c r="Q12" i="54" s="1"/>
  <c r="R12" i="54" s="1"/>
  <c r="O9" i="54"/>
  <c r="P9" i="54" s="1"/>
  <c r="Q9" i="54" s="1"/>
  <c r="R9" i="54" s="1"/>
  <c r="J8" i="54"/>
  <c r="O54" i="54" s="1"/>
  <c r="P54" i="54" s="1"/>
  <c r="Q54" i="54" s="1"/>
  <c r="R54" i="54" s="1"/>
  <c r="G8" i="54"/>
  <c r="K20" i="54" s="1"/>
  <c r="O40" i="54" l="1"/>
  <c r="P39" i="54"/>
  <c r="Q39" i="54" s="1"/>
  <c r="R39" i="54" s="1"/>
  <c r="K16" i="54"/>
  <c r="K12" i="54"/>
  <c r="O10" i="54"/>
  <c r="P10" i="54" s="1"/>
  <c r="Q10" i="54" s="1"/>
  <c r="R10" i="54" s="1"/>
  <c r="K8" i="54"/>
  <c r="O11" i="54"/>
  <c r="P11" i="54" s="1"/>
  <c r="Q11" i="54" s="1"/>
  <c r="R11" i="54" s="1"/>
  <c r="O8" i="54"/>
  <c r="P8" i="54" s="1"/>
  <c r="Q8" i="54" s="1"/>
  <c r="R8" i="54" s="1"/>
  <c r="R13" i="56"/>
  <c r="P46" i="54"/>
  <c r="Q46" i="54" s="1"/>
  <c r="R46" i="54" s="1"/>
  <c r="O47" i="54"/>
  <c r="P47" i="54" s="1"/>
  <c r="Q47" i="54" s="1"/>
  <c r="R47" i="54" s="1"/>
  <c r="P18" i="54"/>
  <c r="Q18" i="54" s="1"/>
  <c r="R18" i="54" s="1"/>
  <c r="O19" i="54"/>
  <c r="P19" i="54" s="1"/>
  <c r="Q19" i="54" s="1"/>
  <c r="R19" i="54" s="1"/>
  <c r="P40" i="54"/>
  <c r="Q40" i="54" s="1"/>
  <c r="R40" i="54" s="1"/>
  <c r="O41" i="54"/>
  <c r="P41" i="54" s="1"/>
  <c r="Q41" i="54" s="1"/>
  <c r="R41" i="54" s="1"/>
  <c r="K18" i="54"/>
  <c r="O20" i="54"/>
  <c r="P20" i="54" s="1"/>
  <c r="Q20" i="54" s="1"/>
  <c r="R20" i="54" s="1"/>
  <c r="P24" i="54"/>
  <c r="Q24" i="54" s="1"/>
  <c r="R24" i="54" s="1"/>
  <c r="N10" i="55"/>
  <c r="N11" i="56"/>
  <c r="N12" i="56"/>
  <c r="N13" i="56"/>
  <c r="R17" i="56"/>
  <c r="R18" i="56"/>
  <c r="R9" i="57"/>
  <c r="R13" i="57"/>
  <c r="O42" i="54"/>
  <c r="P42" i="54" s="1"/>
  <c r="Q42" i="54" s="1"/>
  <c r="R42" i="54" s="1"/>
  <c r="N18" i="56"/>
  <c r="O44" i="54"/>
  <c r="O48" i="54"/>
  <c r="O52" i="54"/>
  <c r="P52" i="54" s="1"/>
  <c r="Q52" i="54" s="1"/>
  <c r="R52" i="54" s="1"/>
  <c r="O53" i="54"/>
  <c r="P53" i="54" s="1"/>
  <c r="Q53" i="54" s="1"/>
  <c r="R53" i="54" s="1"/>
  <c r="R11" i="57"/>
  <c r="R15" i="57"/>
  <c r="R11" i="56"/>
  <c r="R12" i="56"/>
  <c r="R10" i="57"/>
  <c r="P8" i="50"/>
  <c r="P9" i="50"/>
  <c r="P10" i="50"/>
  <c r="P11" i="50"/>
  <c r="P12" i="50"/>
  <c r="P13" i="50"/>
  <c r="P14" i="50"/>
  <c r="P15" i="50"/>
  <c r="P16" i="50"/>
  <c r="P28" i="49"/>
  <c r="P29" i="49"/>
  <c r="P27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8" i="49"/>
  <c r="P9" i="48"/>
  <c r="P10" i="48"/>
  <c r="P11" i="48"/>
  <c r="P12" i="48"/>
  <c r="P13" i="48"/>
  <c r="P14" i="48"/>
  <c r="P15" i="48"/>
  <c r="P16" i="48"/>
  <c r="P8" i="48"/>
  <c r="P27" i="45"/>
  <c r="P26" i="45"/>
  <c r="P25" i="45"/>
  <c r="P24" i="45"/>
  <c r="P23" i="45"/>
  <c r="P22" i="45"/>
  <c r="P21" i="45"/>
  <c r="P20" i="45"/>
  <c r="P19" i="45"/>
  <c r="P18" i="45"/>
  <c r="P17" i="45"/>
  <c r="P16" i="45"/>
  <c r="P15" i="45"/>
  <c r="P14" i="45"/>
  <c r="P13" i="45"/>
  <c r="P12" i="45"/>
  <c r="P11" i="45"/>
  <c r="P10" i="45"/>
  <c r="P9" i="45"/>
  <c r="P8" i="45"/>
  <c r="O26" i="44"/>
  <c r="P26" i="44" s="1"/>
  <c r="O25" i="44"/>
  <c r="P25" i="44" s="1"/>
  <c r="O24" i="44"/>
  <c r="P24" i="44" s="1"/>
  <c r="O23" i="44"/>
  <c r="P23" i="44" s="1"/>
  <c r="P22" i="44"/>
  <c r="O21" i="44"/>
  <c r="P21" i="44" s="1"/>
  <c r="O20" i="44"/>
  <c r="P20" i="44" s="1"/>
  <c r="O19" i="44"/>
  <c r="P19" i="44" s="1"/>
  <c r="O18" i="44"/>
  <c r="P18" i="44" s="1"/>
  <c r="O17" i="44"/>
  <c r="P17" i="44" s="1"/>
  <c r="O16" i="44"/>
  <c r="P16" i="44" s="1"/>
  <c r="O15" i="44"/>
  <c r="P15" i="44" s="1"/>
  <c r="O14" i="44"/>
  <c r="P14" i="44" s="1"/>
  <c r="O13" i="44"/>
  <c r="P13" i="44" s="1"/>
  <c r="O12" i="44"/>
  <c r="P12" i="44" s="1"/>
  <c r="O11" i="44"/>
  <c r="P11" i="44" s="1"/>
  <c r="O10" i="44"/>
  <c r="P10" i="44" s="1"/>
  <c r="O9" i="44"/>
  <c r="P9" i="44" s="1"/>
  <c r="O8" i="44"/>
  <c r="P8" i="44" s="1"/>
  <c r="P45" i="42"/>
  <c r="O45" i="42"/>
  <c r="P44" i="42"/>
  <c r="O44" i="42"/>
  <c r="P43" i="42"/>
  <c r="O43" i="42"/>
  <c r="P42" i="42"/>
  <c r="O42" i="42"/>
  <c r="P41" i="42"/>
  <c r="O41" i="42"/>
  <c r="P40" i="42"/>
  <c r="O40" i="42"/>
  <c r="P25" i="42"/>
  <c r="O25" i="42"/>
  <c r="P24" i="42"/>
  <c r="O24" i="42"/>
  <c r="P23" i="42"/>
  <c r="O23" i="42"/>
  <c r="P22" i="42"/>
  <c r="O22" i="42"/>
  <c r="P21" i="42"/>
  <c r="O21" i="42"/>
  <c r="P20" i="42"/>
  <c r="O20" i="42"/>
  <c r="P19" i="42"/>
  <c r="O19" i="42"/>
  <c r="P18" i="42"/>
  <c r="O18" i="42"/>
  <c r="P17" i="42"/>
  <c r="O17" i="42"/>
  <c r="P16" i="42"/>
  <c r="O16" i="42"/>
  <c r="P15" i="42"/>
  <c r="P14" i="42"/>
  <c r="O14" i="42"/>
  <c r="P11" i="42"/>
  <c r="O11" i="42"/>
  <c r="P10" i="42"/>
  <c r="O10" i="42"/>
  <c r="P9" i="42"/>
  <c r="P44" i="54" l="1"/>
  <c r="Q44" i="54" s="1"/>
  <c r="R44" i="54" s="1"/>
  <c r="O45" i="54"/>
  <c r="P45" i="54" s="1"/>
  <c r="Q45" i="54" s="1"/>
  <c r="R45" i="54" s="1"/>
  <c r="P48" i="54"/>
  <c r="Q48" i="54" s="1"/>
  <c r="R48" i="54" s="1"/>
  <c r="O49" i="54"/>
  <c r="P49" i="54" l="1"/>
  <c r="Q49" i="54" s="1"/>
  <c r="R49" i="54" s="1"/>
  <c r="O50" i="54"/>
  <c r="P50" i="54" s="1"/>
  <c r="Q50" i="54" s="1"/>
  <c r="R50" i="54" s="1"/>
</calcChain>
</file>

<file path=xl/sharedStrings.xml><?xml version="1.0" encoding="utf-8"?>
<sst xmlns="http://schemas.openxmlformats.org/spreadsheetml/2006/main" count="2697" uniqueCount="693">
  <si>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</si>
  <si>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</si>
  <si>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</si>
  <si>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</si>
  <si>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</si>
  <si>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</si>
  <si>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</si>
  <si>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</si>
  <si>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</si>
  <si>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</si>
  <si>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</si>
  <si>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</si>
  <si>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</si>
  <si>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</si>
  <si>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</si>
  <si>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</si>
  <si>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</si>
  <si>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</si>
  <si>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</si>
  <si>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1</t>
  </si>
  <si>
    <t>ناودانی عرضی</t>
  </si>
  <si>
    <t>2</t>
  </si>
  <si>
    <t>ناودانی طولی</t>
  </si>
  <si>
    <t>3</t>
  </si>
  <si>
    <t>پیچ دوسو</t>
  </si>
  <si>
    <t>M5x50</t>
  </si>
  <si>
    <t>4</t>
  </si>
  <si>
    <t>رولپلاک</t>
  </si>
  <si>
    <t>6x40</t>
  </si>
  <si>
    <t>5</t>
  </si>
  <si>
    <t>شبکه ایربافل</t>
  </si>
  <si>
    <t>600x300</t>
  </si>
  <si>
    <t>6</t>
  </si>
  <si>
    <t>چفت</t>
  </si>
  <si>
    <t>--</t>
  </si>
  <si>
    <t>7</t>
  </si>
  <si>
    <t>بست</t>
  </si>
  <si>
    <t>8</t>
  </si>
  <si>
    <t>پیچ شش گوش</t>
  </si>
  <si>
    <t>M6x40</t>
  </si>
  <si>
    <t>9</t>
  </si>
  <si>
    <t>مهره</t>
  </si>
  <si>
    <t>M6</t>
  </si>
  <si>
    <t>Air Baffle</t>
  </si>
  <si>
    <t>-</t>
  </si>
  <si>
    <t>لوله رایزر</t>
  </si>
  <si>
    <t>درپوش رایزر</t>
  </si>
  <si>
    <t>سری افشانک</t>
  </si>
  <si>
    <t>بدنه افشانک</t>
  </si>
  <si>
    <t>بست استیل</t>
  </si>
  <si>
    <t>اورینگ فنجانی</t>
  </si>
  <si>
    <t>10</t>
  </si>
  <si>
    <t>11</t>
  </si>
  <si>
    <t>12</t>
  </si>
  <si>
    <t>M6x30</t>
  </si>
  <si>
    <t>5x50x500</t>
  </si>
  <si>
    <t>Nozzle Bank</t>
  </si>
  <si>
    <t>13</t>
  </si>
  <si>
    <t>14</t>
  </si>
  <si>
    <t>ناودانی عرضی داخل</t>
  </si>
  <si>
    <t>ناودانی طولی داخل</t>
  </si>
  <si>
    <t>ناودانی عرضی بیرون</t>
  </si>
  <si>
    <t>ناودانی طولی بیرون</t>
  </si>
  <si>
    <t>لولا</t>
  </si>
  <si>
    <t>Pumping</t>
  </si>
  <si>
    <t>15</t>
  </si>
  <si>
    <t>16</t>
  </si>
  <si>
    <t>17</t>
  </si>
  <si>
    <t>18</t>
  </si>
  <si>
    <t>19</t>
  </si>
  <si>
    <t>20</t>
  </si>
  <si>
    <t>الکترو موتور</t>
  </si>
  <si>
    <t>پمپ</t>
  </si>
  <si>
    <t>شاسی</t>
  </si>
  <si>
    <t>کوپلینگ</t>
  </si>
  <si>
    <t>M10</t>
  </si>
  <si>
    <t>3"</t>
  </si>
  <si>
    <t>21</t>
  </si>
  <si>
    <t>22</t>
  </si>
  <si>
    <t>23</t>
  </si>
  <si>
    <t>24</t>
  </si>
  <si>
    <t>دستگیره</t>
  </si>
  <si>
    <t>قاب عرضی</t>
  </si>
  <si>
    <t>قاب طولی</t>
  </si>
  <si>
    <t>رولپلاگ</t>
  </si>
  <si>
    <t>M8</t>
  </si>
  <si>
    <t>M8x25</t>
  </si>
  <si>
    <t>نبشی عرضی پایین 1</t>
  </si>
  <si>
    <t>پایه</t>
  </si>
  <si>
    <t>1.5x250x270</t>
  </si>
  <si>
    <t>مهره شش گوش</t>
  </si>
  <si>
    <t>نردبانی</t>
  </si>
  <si>
    <t>نبشی نردبانی</t>
  </si>
  <si>
    <t>رابط نردبانی</t>
  </si>
  <si>
    <t>1.5x77x270</t>
  </si>
  <si>
    <t>نبشی عرضی بالا 1</t>
  </si>
  <si>
    <t>درزگیر</t>
  </si>
  <si>
    <t>M6x10</t>
  </si>
  <si>
    <t>فلنج تخلیه</t>
  </si>
  <si>
    <t>مهره سش گوش</t>
  </si>
  <si>
    <t>M6x15</t>
  </si>
  <si>
    <t>پیچ دو سو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</si>
  <si>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</si>
  <si>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</si>
  <si>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</si>
  <si>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</si>
  <si>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</si>
  <si>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</si>
  <si>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</si>
  <si>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1.5x97x2500</t>
  </si>
  <si>
    <t>1.5x97x2022</t>
  </si>
  <si>
    <t>1.5x136x2500</t>
  </si>
  <si>
    <t>1.5x97x1948</t>
  </si>
  <si>
    <t>Eliminator</t>
  </si>
  <si>
    <t>L=1923</t>
  </si>
  <si>
    <t>لوله کلکتور</t>
  </si>
  <si>
    <t>درپوش کلکتور</t>
  </si>
  <si>
    <t>فلنج جوشی کلکتور</t>
  </si>
  <si>
    <t>فلنج فلزی</t>
  </si>
  <si>
    <t>8x210x210</t>
  </si>
  <si>
    <t>فنجانی کلکتور</t>
  </si>
  <si>
    <t>درپوش فنجانی</t>
  </si>
  <si>
    <t>بوش  رایزر</t>
  </si>
  <si>
    <t>واشر آب بند</t>
  </si>
  <si>
    <t>ناودانی افشانک</t>
  </si>
  <si>
    <t>بست شکلاتی</t>
  </si>
  <si>
    <t>نبشی رایزر</t>
  </si>
  <si>
    <t>Ø90x2432</t>
  </si>
  <si>
    <t>Ø40x1900</t>
  </si>
  <si>
    <t>1.5x88x2500</t>
  </si>
  <si>
    <t>V. Door</t>
  </si>
  <si>
    <t>در بزرگ</t>
  </si>
  <si>
    <t>1.2x836x2155</t>
  </si>
  <si>
    <t>در کوچک</t>
  </si>
  <si>
    <t>1.2x812x2109</t>
  </si>
  <si>
    <t>ناودانی تقویتی</t>
  </si>
  <si>
    <t>1.5x140x695</t>
  </si>
  <si>
    <t>2.9x40x40x800</t>
  </si>
  <si>
    <t>2.9x40x40x2100</t>
  </si>
  <si>
    <t>بوش دستگیره</t>
  </si>
  <si>
    <t>3/4" L=55</t>
  </si>
  <si>
    <t>لولا (نری)</t>
  </si>
  <si>
    <t>Ø12x100</t>
  </si>
  <si>
    <t>لولا (مادگی)</t>
  </si>
  <si>
    <t>15x20x50</t>
  </si>
  <si>
    <t>صفحه لولا (1)</t>
  </si>
  <si>
    <t>5x140x50</t>
  </si>
  <si>
    <t>صفحه لولا (2)</t>
  </si>
  <si>
    <t>5x90x50</t>
  </si>
  <si>
    <t>M8x70</t>
  </si>
  <si>
    <t>پیچ سر آلن</t>
  </si>
  <si>
    <t>سیخک</t>
  </si>
  <si>
    <t>2.9x40x40x150</t>
  </si>
  <si>
    <t>فوم</t>
  </si>
  <si>
    <t>طلق</t>
  </si>
  <si>
    <t>3x200x500</t>
  </si>
  <si>
    <t>نوار درزگیر</t>
  </si>
  <si>
    <t>L=2500</t>
  </si>
  <si>
    <t>مغزی نوار درزگیر</t>
  </si>
  <si>
    <t>10x30x6000</t>
  </si>
  <si>
    <t>لاستیک اسفنجی</t>
  </si>
  <si>
    <t>40x800x2000</t>
  </si>
  <si>
    <t>مهره کاسه نمد دار</t>
  </si>
  <si>
    <t>11Kw-2900rpm</t>
  </si>
  <si>
    <t>U-140x6000</t>
  </si>
  <si>
    <t>EN-50/160</t>
  </si>
  <si>
    <t>الکترو
پمپ</t>
  </si>
  <si>
    <t>صفحه ریل</t>
  </si>
  <si>
    <t>2x170x600</t>
  </si>
  <si>
    <t>نبشی ریل</t>
  </si>
  <si>
    <t>1.5x27x600</t>
  </si>
  <si>
    <t>نبشی عرضی داخل</t>
  </si>
  <si>
    <t>نبشی طولی داخل</t>
  </si>
  <si>
    <t>1.5x40x590</t>
  </si>
  <si>
    <t>نبشی عرضی بیرون</t>
  </si>
  <si>
    <t>نبشی طولی بیرون</t>
  </si>
  <si>
    <t>2x43x597</t>
  </si>
  <si>
    <t xml:space="preserve">توری </t>
  </si>
  <si>
    <t>Ø8x250</t>
  </si>
  <si>
    <t>تسمه تقویتی بیرون</t>
  </si>
  <si>
    <t>2x30x538</t>
  </si>
  <si>
    <t>تسمه تقویتی داخل</t>
  </si>
  <si>
    <t>1/5x30x538</t>
  </si>
  <si>
    <t>S.W.F</t>
  </si>
  <si>
    <t>1.5x40x880</t>
  </si>
  <si>
    <t>2x43x887</t>
  </si>
  <si>
    <t>600x900</t>
  </si>
  <si>
    <t>ریل</t>
  </si>
  <si>
    <t>قاب</t>
  </si>
  <si>
    <t>نبشی قاب عرضی</t>
  </si>
  <si>
    <t>ناودانی قاب طولی</t>
  </si>
  <si>
    <t>تیوب شیت</t>
  </si>
  <si>
    <t>تیوب</t>
  </si>
  <si>
    <t>کلکتور</t>
  </si>
  <si>
    <t>4x70x142</t>
  </si>
  <si>
    <t>فلنج گلویی جوشی</t>
  </si>
  <si>
    <t>نبشی اتصال</t>
  </si>
  <si>
    <t>50x50x80</t>
  </si>
  <si>
    <t>4x95x1052</t>
  </si>
  <si>
    <t>4x355x1500</t>
  </si>
  <si>
    <t>1/2" L=1500</t>
  </si>
  <si>
    <t>4x203x1052</t>
  </si>
  <si>
    <t>1"</t>
  </si>
  <si>
    <t>1" L=100</t>
  </si>
  <si>
    <t>6x155x1052</t>
  </si>
  <si>
    <t>Coil</t>
  </si>
  <si>
    <t>کویل</t>
  </si>
  <si>
    <t>Damper</t>
  </si>
  <si>
    <t>قاب عرض دمپر</t>
  </si>
  <si>
    <t>قاب طولی دمپر</t>
  </si>
  <si>
    <t>تیرک</t>
  </si>
  <si>
    <t>نوار دمپر</t>
  </si>
  <si>
    <t>بادامک</t>
  </si>
  <si>
    <t>فشنگی</t>
  </si>
  <si>
    <t>واسطه 4 گوش</t>
  </si>
  <si>
    <t>گوشک</t>
  </si>
  <si>
    <t>بوش تفلون</t>
  </si>
  <si>
    <t>بازو بزرگ</t>
  </si>
  <si>
    <t>بازو کوچک</t>
  </si>
  <si>
    <t>واشر</t>
  </si>
  <si>
    <t>اشپیل</t>
  </si>
  <si>
    <t>نبشی اتصال قاب</t>
  </si>
  <si>
    <t>پیچ آلن مخروطی</t>
  </si>
  <si>
    <t>مهره 4 گوش</t>
  </si>
  <si>
    <t>توری دمپر</t>
  </si>
  <si>
    <t>نبشی توری دمپر</t>
  </si>
  <si>
    <t>تسمه توری دمپر</t>
  </si>
  <si>
    <t>1/5x370x1967</t>
  </si>
  <si>
    <t>1/5x370x1520</t>
  </si>
  <si>
    <t>1/5x290x1520</t>
  </si>
  <si>
    <t>2x70x1520</t>
  </si>
  <si>
    <t>A12</t>
  </si>
  <si>
    <t>2/6x30</t>
  </si>
  <si>
    <t>2x50x260</t>
  </si>
  <si>
    <t>M10x15</t>
  </si>
  <si>
    <t>1000x1967</t>
  </si>
  <si>
    <t>4x45x6968</t>
  </si>
  <si>
    <t>1/5x30x6968</t>
  </si>
  <si>
    <t>دمپر</t>
  </si>
  <si>
    <t>رینگ</t>
  </si>
  <si>
    <t>مخروطی</t>
  </si>
  <si>
    <t>فلنج</t>
  </si>
  <si>
    <t xml:space="preserve">پایه </t>
  </si>
  <si>
    <t>صفحه</t>
  </si>
  <si>
    <t>ورق اتصال پایه به بدنه</t>
  </si>
  <si>
    <t>3x365x3518</t>
  </si>
  <si>
    <t>2/5x1250x350</t>
  </si>
  <si>
    <t>4x1000x280</t>
  </si>
  <si>
    <t>M16x40</t>
  </si>
  <si>
    <t>8x440x710</t>
  </si>
  <si>
    <t>3x160x160</t>
  </si>
  <si>
    <t>8x160x160</t>
  </si>
  <si>
    <t>8x500x580</t>
  </si>
  <si>
    <t>Fan Case</t>
  </si>
  <si>
    <t>Insurment</t>
  </si>
  <si>
    <t>سنسور دما</t>
  </si>
  <si>
    <t>سنسور رطوبت</t>
  </si>
  <si>
    <t>میکروسوییچ</t>
  </si>
  <si>
    <t>دمپر موتور</t>
  </si>
  <si>
    <t>05</t>
  </si>
  <si>
    <t>01</t>
  </si>
  <si>
    <t xml:space="preserve"> Stand</t>
  </si>
  <si>
    <t>Stand</t>
  </si>
  <si>
    <t>صفحه اتصال پایه</t>
  </si>
  <si>
    <t>5x170x340</t>
  </si>
  <si>
    <t>02</t>
  </si>
  <si>
    <t>قوطی پایه</t>
  </si>
  <si>
    <t>70*70,L=1500</t>
  </si>
  <si>
    <t>03</t>
  </si>
  <si>
    <t>درپوش قوطی پایه</t>
  </si>
  <si>
    <t>4x70x70</t>
  </si>
  <si>
    <t>صفحه زیر پایه</t>
  </si>
  <si>
    <t>8x300x300</t>
  </si>
  <si>
    <t>اتصالات</t>
  </si>
  <si>
    <t xml:space="preserve">پیچ </t>
  </si>
  <si>
    <t>M8x80</t>
  </si>
  <si>
    <t>8x80</t>
  </si>
  <si>
    <t>Casing 3400</t>
  </si>
  <si>
    <t>بدنه جاروب</t>
  </si>
  <si>
    <t>نبشی طولی</t>
  </si>
  <si>
    <t>30x30,L=340</t>
  </si>
  <si>
    <t>نبشی عرضی</t>
  </si>
  <si>
    <t>30x30,L=110</t>
  </si>
  <si>
    <t>بدنه طولی</t>
  </si>
  <si>
    <t>2x278x1700</t>
  </si>
  <si>
    <t>ریل جاروب</t>
  </si>
  <si>
    <t>2x90x280</t>
  </si>
  <si>
    <t>رابط ناودانی تقویتی</t>
  </si>
  <si>
    <t>3x50x170</t>
  </si>
  <si>
    <t>لاستیک درزگیر</t>
  </si>
  <si>
    <t>3x40x1700</t>
  </si>
  <si>
    <t>تسمه نگهدارنده لاستیک درزگیر</t>
  </si>
  <si>
    <t>1.5x30x1700</t>
  </si>
  <si>
    <t>پرچ آلومینیومی</t>
  </si>
  <si>
    <t>4x10</t>
  </si>
  <si>
    <t>در جاروب</t>
  </si>
  <si>
    <t>1.5x375x1700</t>
  </si>
  <si>
    <t>پیچ در چاروب</t>
  </si>
  <si>
    <t>M1/4x15</t>
  </si>
  <si>
    <t>مهره در جاروب</t>
  </si>
  <si>
    <t xml:space="preserve">M1/4 </t>
  </si>
  <si>
    <t>باکس الکتروموتور</t>
  </si>
  <si>
    <t>باکس الکترو موتور</t>
  </si>
  <si>
    <t>2x250x1200</t>
  </si>
  <si>
    <t>درب باکس الکترو موتور</t>
  </si>
  <si>
    <t>2x140x240</t>
  </si>
  <si>
    <t>صفحه انتهایی باکس الکترو موتور</t>
  </si>
  <si>
    <t>3x170x340</t>
  </si>
  <si>
    <t>پیچ در باکس الکتروموتور</t>
  </si>
  <si>
    <t>مهره در باکس الکتروموتور</t>
  </si>
  <si>
    <t>بسته پیچ و اتصالات</t>
  </si>
  <si>
    <t>پیچ اتصال تکه ها</t>
  </si>
  <si>
    <t>M8x20</t>
  </si>
  <si>
    <t>مهره اتصال تکه ها</t>
  </si>
  <si>
    <t>پیچ رابط ناودانی</t>
  </si>
  <si>
    <t>M8x30</t>
  </si>
  <si>
    <t>Tractor</t>
  </si>
  <si>
    <t>واگن اول</t>
  </si>
  <si>
    <t>صفحه کشنده</t>
  </si>
  <si>
    <t>3x200x300</t>
  </si>
  <si>
    <t>نبشی صفحه کشنده</t>
  </si>
  <si>
    <t>30x30, L=30</t>
  </si>
  <si>
    <t>صفحه زیر واگن اول</t>
  </si>
  <si>
    <t>2x260x300</t>
  </si>
  <si>
    <t>صفحه روی واگن اول</t>
  </si>
  <si>
    <t>2x100x300</t>
  </si>
  <si>
    <t>لوله رابط صفحات واگن اول</t>
  </si>
  <si>
    <t>چرخ واگن اول</t>
  </si>
  <si>
    <t>بلبرینگ چرخ واگن</t>
  </si>
  <si>
    <t>6000z</t>
  </si>
  <si>
    <t xml:space="preserve">پیچ چرخ واگن </t>
  </si>
  <si>
    <t>M10x60</t>
  </si>
  <si>
    <t>مهره چرخ واگن</t>
  </si>
  <si>
    <t>واشر چرخ واگن</t>
  </si>
  <si>
    <t>A10</t>
  </si>
  <si>
    <t>واگن دوم</t>
  </si>
  <si>
    <t>صفحه زیر واگن دوم</t>
  </si>
  <si>
    <t>صفحه روی واگن دوم</t>
  </si>
  <si>
    <t>لوله رابط صفحات واگن دوم</t>
  </si>
  <si>
    <t>چرخ واگن دوم</t>
  </si>
  <si>
    <t>ناودانی اتصال واگن</t>
  </si>
  <si>
    <t>2x120x1700</t>
  </si>
  <si>
    <t>پیچ اتصال واگن</t>
  </si>
  <si>
    <t>مهره اتصال واگن</t>
  </si>
  <si>
    <t xml:space="preserve">M1/4  </t>
  </si>
  <si>
    <t>04</t>
  </si>
  <si>
    <t>Driver</t>
  </si>
  <si>
    <t>چرخدنده متحرک</t>
  </si>
  <si>
    <t>خورشیدی چرخدنده متحرک</t>
  </si>
  <si>
    <t>شفت چرخدنده متحرک</t>
  </si>
  <si>
    <t>بلبرینگ چرخدنده متحرک</t>
  </si>
  <si>
    <t>6000zz</t>
  </si>
  <si>
    <t>مهره چرخدنده متحرک</t>
  </si>
  <si>
    <t>واشر چرخدنده متحرک</t>
  </si>
  <si>
    <t>چرخدنده ثابت</t>
  </si>
  <si>
    <t>خورشیدی چرخدنده ثابت</t>
  </si>
  <si>
    <t>Ø80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</si>
  <si>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</si>
  <si>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</si>
  <si>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</si>
  <si>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</si>
  <si>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</si>
  <si>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</si>
  <si>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</si>
  <si>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</si>
  <si>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</si>
  <si>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خار شفت الکتروگیربکس</t>
  </si>
  <si>
    <t>6x6x90</t>
  </si>
  <si>
    <t>6x6x50</t>
  </si>
  <si>
    <t>مجموعه الکتروگیربکس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</si>
  <si>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</si>
  <si>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</si>
  <si>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</si>
  <si>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</si>
  <si>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</si>
  <si>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</si>
  <si>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</t>
  </si>
  <si>
    <t>زنجیر40</t>
  </si>
  <si>
    <t>تفلونی زنجیر</t>
  </si>
  <si>
    <t>40x40x40</t>
  </si>
  <si>
    <t>صفحه تفلونی</t>
  </si>
  <si>
    <t>2x10x10</t>
  </si>
  <si>
    <t>پیچ تفلونی</t>
  </si>
  <si>
    <t>06</t>
  </si>
  <si>
    <t>Casing</t>
  </si>
  <si>
    <t>قاب بالایی داست کالکتور</t>
  </si>
  <si>
    <t>قاب بالایی</t>
  </si>
  <si>
    <t>2x500x1800</t>
  </si>
  <si>
    <t>استوانه قاب بالایی</t>
  </si>
  <si>
    <t>2x75x1100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</si>
  <si>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</si>
  <si>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</si>
  <si>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</si>
  <si>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</si>
  <si>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</si>
  <si>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</si>
  <si>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</si>
  <si>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</si>
  <si>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</si>
  <si>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</si>
  <si>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</si>
  <si>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</si>
  <si>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</si>
  <si>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</si>
  <si>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</si>
  <si>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</si>
  <si>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</si>
  <si>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</si>
  <si>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</si>
  <si>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</si>
  <si>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2x150x1100</t>
  </si>
  <si>
    <t>بسته اتصالات</t>
  </si>
  <si>
    <t>پیچ رولپلاگ</t>
  </si>
  <si>
    <t>کیسه یک سر باز</t>
  </si>
  <si>
    <t>Ø350</t>
  </si>
  <si>
    <t>کیسه دو سر باز</t>
  </si>
  <si>
    <t>بست کیسه داست کالکتور</t>
  </si>
  <si>
    <t>Fan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</si>
  <si>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</si>
  <si>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</si>
  <si>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</si>
  <si>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</si>
  <si>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</si>
  <si>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</si>
  <si>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</si>
  <si>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</si>
  <si>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</si>
  <si>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</si>
  <si>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</si>
  <si>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</si>
  <si>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</si>
  <si>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</si>
  <si>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</si>
  <si>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واشر فنری پایه</t>
  </si>
  <si>
    <t>A8</t>
  </si>
  <si>
    <t>مهره بدنه فن حلزونی</t>
  </si>
  <si>
    <t>واشر فنری بدنه فن حلزونی</t>
  </si>
  <si>
    <t>مهره پایه فن حلزونی</t>
  </si>
  <si>
    <t>میخ پرچ</t>
  </si>
  <si>
    <t>M5x10</t>
  </si>
  <si>
    <t>بوش روی سر پره فن</t>
  </si>
  <si>
    <r>
      <t>Ø</t>
    </r>
    <r>
      <rPr>
        <sz val="11.5"/>
        <rFont val="Times New Roman"/>
        <family val="1"/>
      </rPr>
      <t>60,L=50</t>
    </r>
  </si>
  <si>
    <t>پره فن حلزونی</t>
  </si>
  <si>
    <t>پره آلومنیومی</t>
  </si>
  <si>
    <t>پیچ نگه دارنده الکترو موتور</t>
  </si>
  <si>
    <t>M12x35</t>
  </si>
  <si>
    <t>مهره کاسه نمددار نگه دارنده موتور</t>
  </si>
  <si>
    <t>پیچ آلن سر الکتروموتور</t>
  </si>
  <si>
    <t>M8x50</t>
  </si>
  <si>
    <t>واشر فنری سر الکتروموتور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</si>
  <si>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</si>
  <si>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</si>
  <si>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</si>
  <si>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</si>
  <si>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</si>
  <si>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</si>
  <si>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</si>
  <si>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</si>
  <si>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</si>
  <si>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پیچ اتصال دیفیوزر به بدنه</t>
  </si>
  <si>
    <t>M6x20</t>
  </si>
  <si>
    <t>25</t>
  </si>
  <si>
    <t>واشر فنری دیفیوزر</t>
  </si>
  <si>
    <t>26</t>
  </si>
  <si>
    <t xml:space="preserve">پیچ رولپلاگ </t>
  </si>
  <si>
    <t>27</t>
  </si>
  <si>
    <t>Nozzle Pack</t>
  </si>
  <si>
    <t>ناودانی نگهدارنده نازل مکش</t>
  </si>
  <si>
    <t>نازل مکش</t>
  </si>
  <si>
    <t>لوله نازل مکش</t>
  </si>
  <si>
    <t>Ø110,L=300</t>
  </si>
  <si>
    <t>سری نازل مکش</t>
  </si>
  <si>
    <t>Ø110,L=150</t>
  </si>
  <si>
    <t>قاب نازل مکش</t>
  </si>
  <si>
    <t>2x150x150</t>
  </si>
  <si>
    <t>حلقه نازل مکش</t>
  </si>
  <si>
    <t>2x20x200</t>
  </si>
  <si>
    <t>دستگیره نازل مکش</t>
  </si>
  <si>
    <t>2x25x350</t>
  </si>
  <si>
    <t>پیچ دستگیره نازل مکش</t>
  </si>
  <si>
    <t>M8*15</t>
  </si>
  <si>
    <t>مهره دستگیره نازل مکش</t>
  </si>
  <si>
    <t>پیچ اتصال نازل مکش</t>
  </si>
  <si>
    <t>M1/4x10</t>
  </si>
  <si>
    <t>مهره اتصال نازل مکش</t>
  </si>
  <si>
    <t>M1/4</t>
  </si>
  <si>
    <t>هرزگرد</t>
  </si>
  <si>
    <t>لوله PVC هرزگرد</t>
  </si>
  <si>
    <t>لوله فلزی هرزگرد</t>
  </si>
  <si>
    <t xml:space="preserve">لوله خرطومی </t>
  </si>
  <si>
    <t>Ø110,L=3000</t>
  </si>
  <si>
    <t>بست کمربندی لوله خرطومی</t>
  </si>
  <si>
    <t>Ø110</t>
  </si>
  <si>
    <t>پایه نگهدارنده لوله خرطومی</t>
  </si>
  <si>
    <t>صفحه اتصال پایه نگهدارنده لوله خرطومی</t>
  </si>
  <si>
    <t>3x150x340</t>
  </si>
  <si>
    <t>بست روی لوله خرطومی</t>
  </si>
  <si>
    <t>2x20x280</t>
  </si>
  <si>
    <t>لوله پایه نگهدارنده لوله خرطومی</t>
  </si>
  <si>
    <t>Ø32,L=1500</t>
  </si>
  <si>
    <t>صفحه زیر پایه نگهدارنده لوله خرطومی</t>
  </si>
  <si>
    <t>5x100x200</t>
  </si>
  <si>
    <t>نوع محصول</t>
  </si>
  <si>
    <t>بدنه روتاری هوا</t>
  </si>
  <si>
    <t>توری پانچی</t>
  </si>
  <si>
    <t>1.5x840x1570</t>
  </si>
  <si>
    <t>Kg</t>
  </si>
  <si>
    <t>ناودانی بدنه</t>
  </si>
  <si>
    <t>4x121x1900</t>
  </si>
  <si>
    <t>نبشی بدنه</t>
  </si>
  <si>
    <t>4x73x1570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</si>
  <si>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</si>
  <si>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</si>
  <si>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</si>
  <si>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</si>
  <si>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</si>
  <si>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</si>
  <si>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</si>
  <si>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</si>
  <si>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</si>
  <si>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</si>
  <si>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</si>
  <si>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</si>
  <si>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</si>
  <si>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</si>
  <si>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</si>
  <si>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</si>
  <si>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</si>
  <si>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</si>
  <si>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</si>
  <si>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</si>
  <si>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</si>
  <si>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</si>
  <si>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</si>
  <si>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</si>
  <si>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</si>
  <si>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</si>
  <si>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</si>
  <si>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</si>
  <si>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</si>
  <si>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</si>
  <si>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</si>
  <si>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</si>
  <si>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</si>
  <si>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</si>
  <si>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</si>
  <si>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</si>
  <si>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</si>
  <si>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</si>
  <si>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</si>
  <si>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</si>
  <si>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</si>
  <si>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</si>
  <si>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</si>
  <si>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</si>
  <si>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مهره اتصال صفحه مثلثی</t>
  </si>
  <si>
    <t xml:space="preserve">M8 </t>
  </si>
  <si>
    <t>پیچ اتصال کپه ها</t>
  </si>
  <si>
    <t>مهره اتصال کپه ها</t>
  </si>
  <si>
    <t>واشر فنری اتصال کپه ها</t>
  </si>
  <si>
    <t>M10x30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</si>
  <si>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</si>
  <si>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</si>
  <si>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</si>
  <si>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</si>
  <si>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</si>
  <si>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</si>
  <si>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</si>
  <si>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</si>
  <si>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</si>
  <si>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</si>
  <si>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</si>
  <si>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</si>
  <si>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</si>
  <si>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10x440x440</t>
  </si>
  <si>
    <t>ناودانی پایه</t>
  </si>
  <si>
    <t>تقویتی پایه</t>
  </si>
  <si>
    <t>8x155x155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</si>
  <si>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</si>
  <si>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</si>
  <si>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</si>
  <si>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</si>
  <si>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</si>
  <si>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</si>
  <si>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</si>
  <si>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</si>
  <si>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</si>
  <si>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</si>
  <si>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</si>
  <si>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</si>
  <si>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</si>
  <si>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</si>
  <si>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</si>
  <si>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</si>
  <si>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</si>
  <si>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</si>
  <si>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</si>
  <si>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</si>
  <si>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نبشی هرزگزد</t>
  </si>
  <si>
    <t>نبشی نگهدارنده صفحه موتور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</si>
  <si>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</si>
  <si>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</si>
  <si>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</si>
  <si>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</si>
  <si>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</si>
  <si>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</si>
  <si>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</si>
  <si>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</si>
  <si>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</si>
  <si>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</si>
  <si>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</si>
  <si>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</si>
  <si>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</si>
  <si>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</si>
  <si>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</si>
  <si>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</si>
  <si>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</si>
  <si>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مهره سر میل پیچ</t>
  </si>
  <si>
    <t>M16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</si>
  <si>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</si>
  <si>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</si>
  <si>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</si>
  <si>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</si>
  <si>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</si>
  <si>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</si>
  <si>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</si>
  <si>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</si>
  <si>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</si>
  <si>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</si>
  <si>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</si>
  <si>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</si>
  <si>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</si>
  <si>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</si>
  <si>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</si>
  <si>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</si>
  <si>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</si>
  <si>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</si>
  <si>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</si>
  <si>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</si>
  <si>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</si>
  <si>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</si>
  <si>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</si>
  <si>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</si>
  <si>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</si>
  <si>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</si>
  <si>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</si>
  <si>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</si>
  <si>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</si>
  <si>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</si>
  <si>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</si>
  <si>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</si>
  <si>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</si>
  <si>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</si>
  <si>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</si>
  <si>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</si>
  <si>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</si>
  <si>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</si>
  <si>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</si>
  <si>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</si>
  <si>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</si>
  <si>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</si>
  <si>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</si>
  <si>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</si>
  <si>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</si>
  <si>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</si>
  <si>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</si>
  <si>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</si>
  <si>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</si>
  <si>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</si>
  <si>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</si>
  <si>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</si>
  <si>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</si>
  <si>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</si>
  <si>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</si>
  <si>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</si>
  <si>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</si>
  <si>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6*6*100</t>
  </si>
  <si>
    <t>20 N.m.</t>
  </si>
  <si>
    <t>1/5x88x2500</t>
  </si>
  <si>
    <t>1/5x84x1995</t>
  </si>
  <si>
    <t>1/5x88x600</t>
  </si>
  <si>
    <t>1/5x88x900</t>
  </si>
  <si>
    <t>رایزر</t>
  </si>
  <si>
    <t>در تهویه</t>
  </si>
  <si>
    <t>15Kw-1400rpm</t>
  </si>
  <si>
    <t>18.5Kw-1400rpm</t>
  </si>
  <si>
    <t>مقدار
خالص</t>
  </si>
  <si>
    <t>Ø12,L=1700</t>
  </si>
  <si>
    <t>Ø22,L=40</t>
  </si>
  <si>
    <t>Ø65,L=15</t>
  </si>
  <si>
    <t>Ø18,L=40</t>
  </si>
  <si>
    <t>pcs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</si>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</sst>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sz val="6"/>
      <name val="Cambria"/>
      <family val="1"/>
      <scheme val="major"/>
    </font>
    <font>
      <sz val="7"/>
      <name val="Cambria"/>
      <family val="1"/>
      <scheme val="major"/>
    </font>
    <font>
      <sz val="10"/>
      <name val="Times New Roman"/>
      <family val="1"/>
    </font>
    <font>
      <sz val="10"/>
      <color theme="1"/>
      <name val="Times New Roman"/>
      <family val="1"/>
    </font>
    <font>
      <sz val="8"/>
      <color theme="1"/>
      <name val="B Nazanin"/>
      <charset val="178"/>
    </font>
    <font>
      <sz val="9"/>
      <name val="Times New Roman"/>
      <family val="1"/>
    </font>
    <font>
      <sz val="10"/>
      <name val="B Nazanin"/>
      <charset val="178"/>
    </font>
    <font>
      <sz val="8"/>
      <color theme="1"/>
      <name val="Calibri"/>
      <family val="2"/>
      <scheme val="minor"/>
    </font>
    <font>
      <sz val="10"/>
      <color theme="1"/>
      <name val="B Nazanin"/>
      <charset val="178"/>
    </font>
    <font>
      <sz val="9"/>
      <color theme="1"/>
      <name val="Times New Roman"/>
      <family val="1"/>
    </font>
    <font>
      <sz val="11.5"/>
      <name val="Times New Roman"/>
      <family val="1"/>
    </font>
    <font>
      <sz val="8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2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49" fontId="4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2" fillId="0" borderId="10" xfId="0" quotePrefix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/>
    <xf numFmtId="0" fontId="13" fillId="0" borderId="14" xfId="0" quotePrefix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0" xfId="0" quotePrefix="1" applyFont="1" applyFill="1" applyBorder="1" applyAlignment="1">
      <alignment horizontal="center" vertical="center"/>
    </xf>
    <xf numFmtId="49" fontId="17" fillId="0" borderId="15" xfId="0" quotePrefix="1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13" fillId="0" borderId="15" xfId="0" quotePrefix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/>
    </xf>
    <xf numFmtId="0" fontId="0" fillId="0" borderId="7" xfId="0" applyBorder="1"/>
    <xf numFmtId="1" fontId="5" fillId="0" borderId="7" xfId="0" applyNumberFormat="1" applyFont="1" applyBorder="1" applyAlignment="1">
      <alignment horizontal="center" vertical="center"/>
    </xf>
    <xf numFmtId="49" fontId="4" fillId="0" borderId="0" xfId="0" quotePrefix="1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17" fillId="0" borderId="0" xfId="0" quotePrefix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24" fillId="0" borderId="10" xfId="0" applyNumberFormat="1" applyFont="1" applyFill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1" fontId="20" fillId="0" borderId="14" xfId="0" applyNumberFormat="1" applyFont="1" applyFill="1" applyBorder="1" applyAlignment="1">
      <alignment horizontal="center" vertical="center"/>
    </xf>
    <xf numFmtId="1" fontId="24" fillId="0" borderId="14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1" fontId="19" fillId="0" borderId="14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13" fillId="0" borderId="10" xfId="0" quotePrefix="1" applyNumberFormat="1" applyFont="1" applyFill="1" applyBorder="1" applyAlignment="1">
      <alignment horizontal="center" vertical="center"/>
    </xf>
    <xf numFmtId="0" fontId="13" fillId="0" borderId="10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 vertical="center"/>
    </xf>
    <xf numFmtId="1" fontId="24" fillId="0" borderId="14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15" fillId="0" borderId="7" xfId="0" applyNumberFormat="1" applyFont="1" applyFill="1" applyBorder="1" applyAlignment="1">
      <alignment horizontal="center" vertical="center" wrapText="1"/>
    </xf>
    <xf numFmtId="1" fontId="24" fillId="0" borderId="7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vertical="center"/>
    </xf>
    <xf numFmtId="1" fontId="15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Fill="1" applyBorder="1"/>
    <xf numFmtId="1" fontId="5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4" fillId="0" borderId="15" xfId="0" quotePrefix="1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16" fillId="0" borderId="15" xfId="0" quotePrefix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6" fillId="0" borderId="7" xfId="0" quotePrefix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1" fontId="18" fillId="0" borderId="12" xfId="0" applyNumberFormat="1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0" xfId="0" quotePrefix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1" fontId="15" fillId="0" borderId="10" xfId="0" applyNumberFormat="1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7" fillId="0" borderId="1" xfId="0" quotePrefix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2" fontId="10" fillId="0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49" fontId="10" fillId="0" borderId="10" xfId="0" quotePrefix="1" applyNumberFormat="1" applyFont="1" applyFill="1" applyBorder="1" applyAlignment="1">
      <alignment horizontal="center" vertical="center" wrapText="1"/>
    </xf>
    <xf numFmtId="2" fontId="10" fillId="0" borderId="10" xfId="0" quotePrefix="1" applyNumberFormat="1" applyFont="1" applyFill="1" applyBorder="1" applyAlignment="1">
      <alignment horizontal="center" vertical="center" wrapText="1"/>
    </xf>
    <xf numFmtId="49" fontId="26" fillId="0" borderId="10" xfId="0" applyNumberFormat="1" applyFont="1" applyFill="1" applyBorder="1" applyAlignment="1">
      <alignment horizontal="center" vertical="center"/>
    </xf>
    <xf numFmtId="49" fontId="26" fillId="0" borderId="7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8" fillId="0" borderId="6" xfId="0" quotePrefix="1" applyNumberFormat="1" applyFont="1" applyFill="1" applyBorder="1" applyAlignment="1">
      <alignment horizontal="center" vertical="center" wrapText="1"/>
    </xf>
    <xf numFmtId="2" fontId="8" fillId="0" borderId="8" xfId="0" quotePrefix="1" applyNumberFormat="1" applyFont="1" applyFill="1" applyBorder="1" applyAlignment="1">
      <alignment horizontal="center" vertical="center" wrapText="1"/>
    </xf>
    <xf numFmtId="2" fontId="8" fillId="0" borderId="7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2" fontId="4" fillId="0" borderId="6" xfId="0" quotePrefix="1" applyNumberFormat="1" applyFont="1" applyFill="1" applyBorder="1" applyAlignment="1">
      <alignment horizontal="center" vertical="center" wrapText="1"/>
    </xf>
    <xf numFmtId="2" fontId="4" fillId="0" borderId="7" xfId="0" quotePrefix="1" applyNumberFormat="1" applyFont="1" applyFill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49" fontId="26" fillId="0" borderId="1" xfId="0" quotePrefix="1" applyNumberFormat="1" applyFont="1" applyFill="1" applyBorder="1" applyAlignment="1">
      <alignment horizontal="center" vertical="center" wrapText="1"/>
    </xf>
    <xf numFmtId="2" fontId="26" fillId="0" borderId="1" xfId="0" quotePrefix="1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1" fontId="29" fillId="0" borderId="1" xfId="0" applyNumberFormat="1" applyFont="1" applyBorder="1" applyAlignment="1">
      <alignment horizontal="center" vertical="center"/>
    </xf>
    <xf numFmtId="49" fontId="26" fillId="0" borderId="6" xfId="0" quotePrefix="1" applyNumberFormat="1" applyFont="1" applyFill="1" applyBorder="1" applyAlignment="1">
      <alignment horizontal="center" vertical="center" wrapText="1"/>
    </xf>
    <xf numFmtId="49" fontId="26" fillId="0" borderId="8" xfId="0" quotePrefix="1" applyNumberFormat="1" applyFont="1" applyFill="1" applyBorder="1" applyAlignment="1">
      <alignment horizontal="center" vertical="center" wrapText="1"/>
    </xf>
    <xf numFmtId="49" fontId="26" fillId="0" borderId="7" xfId="0" quotePrefix="1" applyNumberFormat="1" applyFont="1" applyFill="1" applyBorder="1" applyAlignment="1">
      <alignment horizontal="center" vertical="center" wrapText="1"/>
    </xf>
    <xf numFmtId="2" fontId="26" fillId="0" borderId="6" xfId="0" quotePrefix="1" applyNumberFormat="1" applyFont="1" applyFill="1" applyBorder="1" applyAlignment="1">
      <alignment horizontal="center" vertical="center" wrapText="1"/>
    </xf>
    <xf numFmtId="2" fontId="26" fillId="0" borderId="8" xfId="0" quotePrefix="1" applyNumberFormat="1" applyFont="1" applyFill="1" applyBorder="1" applyAlignment="1">
      <alignment horizontal="center" vertical="center" wrapText="1"/>
    </xf>
    <xf numFmtId="2" fontId="26" fillId="0" borderId="7" xfId="0" quotePrefix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1" fontId="10" fillId="0" borderId="1" xfId="0" quotePrefix="1" applyNumberFormat="1" applyFont="1" applyFill="1" applyBorder="1" applyAlignment="1">
      <alignment horizontal="center" vertical="center" wrapText="1"/>
    </xf>
    <xf numFmtId="2" fontId="10" fillId="0" borderId="1" xfId="0" quotePrefix="1" applyNumberFormat="1" applyFont="1" applyFill="1" applyBorder="1" applyAlignment="1">
      <alignment horizontal="center" vertical="center" wrapText="1"/>
    </xf>
    <xf numFmtId="2" fontId="4" fillId="0" borderId="8" xfId="0" quotePrefix="1" applyNumberFormat="1" applyFont="1" applyFill="1" applyBorder="1" applyAlignment="1">
      <alignment horizontal="center" vertical="center" wrapText="1"/>
    </xf>
    <xf numFmtId="49" fontId="26" fillId="0" borderId="10" xfId="0" quotePrefix="1" applyNumberFormat="1" applyFont="1" applyFill="1" applyBorder="1" applyAlignment="1">
      <alignment horizontal="center" vertical="center" wrapText="1"/>
    </xf>
    <xf numFmtId="2" fontId="26" fillId="0" borderId="10" xfId="0" quotePrefix="1" applyNumberFormat="1" applyFont="1" applyFill="1" applyBorder="1" applyAlignment="1">
      <alignment horizontal="center" vertical="center" wrapText="1"/>
    </xf>
    <xf numFmtId="49" fontId="10" fillId="0" borderId="8" xfId="0" quotePrefix="1" applyNumberFormat="1" applyFont="1" applyFill="1" applyBorder="1" applyAlignment="1">
      <alignment horizontal="center" vertical="center" wrapText="1"/>
    </xf>
    <xf numFmtId="49" fontId="10" fillId="0" borderId="7" xfId="0" quotePrefix="1" applyNumberFormat="1" applyFont="1" applyFill="1" applyBorder="1" applyAlignment="1">
      <alignment horizontal="center" vertical="center" wrapText="1"/>
    </xf>
    <xf numFmtId="2" fontId="10" fillId="0" borderId="8" xfId="0" quotePrefix="1" applyNumberFormat="1" applyFont="1" applyFill="1" applyBorder="1" applyAlignment="1">
      <alignment horizontal="center" vertical="center" wrapText="1"/>
    </xf>
    <xf numFmtId="2" fontId="10" fillId="0" borderId="7" xfId="0" quotePrefix="1" applyNumberFormat="1" applyFont="1" applyFill="1" applyBorder="1" applyAlignment="1">
      <alignment horizontal="center" vertical="center" wrapText="1"/>
    </xf>
    <xf numFmtId="2" fontId="4" fillId="0" borderId="1" xfId="0" quotePrefix="1" applyNumberFormat="1" applyFont="1" applyFill="1" applyBorder="1" applyAlignment="1">
      <alignment horizontal="center" vertical="center" wrapText="1"/>
    </xf>
    <xf numFmtId="2" fontId="8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12" xfId="0" quotePrefix="1" applyNumberFormat="1" applyFont="1" applyFill="1" applyBorder="1" applyAlignment="1">
      <alignment horizontal="center" vertical="center" wrapText="1"/>
    </xf>
    <xf numFmtId="1" fontId="4" fillId="0" borderId="10" xfId="0" quotePrefix="1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8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1" fontId="5" fillId="0" borderId="6" xfId="0" quotePrefix="1" applyNumberFormat="1" applyFont="1" applyBorder="1" applyAlignment="1">
      <alignment horizontal="center" vertical="center"/>
    </xf>
    <xf numFmtId="1" fontId="5" fillId="0" borderId="8" xfId="0" quotePrefix="1" applyNumberFormat="1" applyFont="1" applyBorder="1" applyAlignment="1">
      <alignment horizontal="center" vertical="center"/>
    </xf>
    <xf numFmtId="1" fontId="5" fillId="0" borderId="7" xfId="0" quotePrefix="1" applyNumberFormat="1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2" fontId="5" fillId="0" borderId="6" xfId="0" quotePrefix="1" applyNumberFormat="1" applyFont="1" applyBorder="1" applyAlignment="1">
      <alignment horizontal="center" vertical="center"/>
    </xf>
    <xf numFmtId="2" fontId="5" fillId="0" borderId="8" xfId="0" quotePrefix="1" applyNumberFormat="1" applyFont="1" applyBorder="1" applyAlignment="1">
      <alignment horizontal="center" vertical="center"/>
    </xf>
    <xf numFmtId="2" fontId="5" fillId="0" borderId="7" xfId="0" quotePrefix="1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49" fontId="4" fillId="0" borderId="14" xfId="0" quotePrefix="1" applyNumberFormat="1" applyFont="1" applyFill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49" fontId="19" fillId="0" borderId="8" xfId="0" applyNumberFormat="1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7" fillId="0" borderId="14" xfId="0" quotePrefix="1" applyNumberFormat="1" applyFont="1" applyFill="1" applyBorder="1" applyAlignment="1">
      <alignment horizontal="center" vertical="center"/>
    </xf>
    <xf numFmtId="49" fontId="17" fillId="0" borderId="10" xfId="0" quotePrefix="1" applyNumberFormat="1" applyFont="1" applyFill="1" applyBorder="1" applyAlignment="1">
      <alignment horizontal="center" vertical="center"/>
    </xf>
    <xf numFmtId="49" fontId="4" fillId="0" borderId="13" xfId="0" quotePrefix="1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1" fontId="4" fillId="0" borderId="14" xfId="0" quotePrefix="1" applyNumberFormat="1" applyFont="1" applyFill="1" applyBorder="1" applyAlignment="1">
      <alignment horizontal="center" vertical="center" wrapText="1"/>
    </xf>
    <xf numFmtId="1" fontId="4" fillId="0" borderId="13" xfId="0" quotePrefix="1" applyNumberFormat="1" applyFont="1" applyFill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  <xf numFmtId="0" fontId="17" fillId="0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Fill="1" applyBorder="1" applyAlignment="1">
      <alignment horizontal="center" vertical="center" wrapText="1"/>
    </xf>
    <xf numFmtId="1" fontId="15" fillId="0" borderId="7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10" fillId="0" borderId="6" xfId="0" quotePrefix="1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center" vertical="center" wrapText="1"/>
    </xf>
    <xf numFmtId="0" fontId="10" fillId="0" borderId="7" xfId="0" quotePrefix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3" fillId="0" borderId="12" xfId="0" quotePrefix="1" applyFont="1" applyFill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49" fontId="16" fillId="0" borderId="8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49" fontId="16" fillId="0" borderId="12" xfId="0" applyNumberFormat="1" applyFont="1" applyFill="1" applyBorder="1" applyAlignment="1">
      <alignment horizontal="center" vertic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49" fontId="16" fillId="0" borderId="15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1" fontId="16" fillId="0" borderId="7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61445"/>
          <a:ext cx="7280376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79304"/>
          <a:ext cx="7280376" cy="893282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66674</xdr:colOff>
      <xdr:row>88</xdr:row>
      <xdr:rowOff>41408</xdr:rowOff>
    </xdr:from>
    <xdr:to>
      <xdr:col>14</xdr:col>
      <xdr:colOff>376</xdr:colOff>
      <xdr:row>92</xdr:row>
      <xdr:rowOff>101459</xdr:rowOff>
    </xdr:to>
    <xdr:grpSp>
      <xdr:nvGrpSpPr>
        <xdr:cNvPr id="40" name="Group 39"/>
        <xdr:cNvGrpSpPr/>
      </xdr:nvGrpSpPr>
      <xdr:grpSpPr>
        <a:xfrm>
          <a:off x="66674" y="17774473"/>
          <a:ext cx="7280376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109</xdr:row>
      <xdr:rowOff>19050</xdr:rowOff>
    </xdr:from>
    <xdr:to>
      <xdr:col>13</xdr:col>
      <xdr:colOff>396700</xdr:colOff>
      <xdr:row>113</xdr:row>
      <xdr:rowOff>117201</xdr:rowOff>
    </xdr:to>
    <xdr:grpSp>
      <xdr:nvGrpSpPr>
        <xdr:cNvPr id="69" name="Group 68"/>
        <xdr:cNvGrpSpPr/>
      </xdr:nvGrpSpPr>
      <xdr:grpSpPr>
        <a:xfrm>
          <a:off x="57150" y="22456637"/>
          <a:ext cx="7280376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146</xdr:row>
      <xdr:rowOff>19050</xdr:rowOff>
    </xdr:from>
    <xdr:to>
      <xdr:col>13</xdr:col>
      <xdr:colOff>396700</xdr:colOff>
      <xdr:row>150</xdr:row>
      <xdr:rowOff>117201</xdr:rowOff>
    </xdr:to>
    <xdr:grpSp>
      <xdr:nvGrpSpPr>
        <xdr:cNvPr id="78" name="Group 77"/>
        <xdr:cNvGrpSpPr/>
      </xdr:nvGrpSpPr>
      <xdr:grpSpPr>
        <a:xfrm>
          <a:off x="57150" y="30267137"/>
          <a:ext cx="7280376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</xdr:colOff>
      <xdr:row>0</xdr:row>
      <xdr:rowOff>0</xdr:rowOff>
    </xdr:from>
    <xdr:to>
      <xdr:col>16</xdr:col>
      <xdr:colOff>168630</xdr:colOff>
      <xdr:row>3</xdr:row>
      <xdr:rowOff>143769</xdr:rowOff>
    </xdr:to>
    <xdr:grpSp>
      <xdr:nvGrpSpPr>
        <xdr:cNvPr id="97" name="Group 96"/>
        <xdr:cNvGrpSpPr/>
      </xdr:nvGrpSpPr>
      <xdr:grpSpPr>
        <a:xfrm>
          <a:off x="1" y="0"/>
          <a:ext cx="8285586" cy="715269"/>
          <a:chOff x="0" y="8279"/>
          <a:chExt cx="8302625" cy="703632"/>
        </a:xfrm>
      </xdr:grpSpPr>
      <xdr:sp macro="" textlink="">
        <xdr:nvSpPr>
          <xdr:cNvPr id="98" name="TextBox 9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00" name="TextBox 9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01" name="TextBox 10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Borujerd-60000-ARF-BOM-07</a:t>
            </a:r>
            <a:endParaRPr lang="en-US" sz="800"/>
          </a:p>
        </xdr:txBody>
      </xdr:sp>
      <xdr:sp macro="" textlink="">
        <xdr:nvSpPr>
          <xdr:cNvPr id="104" name="TextBox 10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5</a:t>
            </a:r>
            <a:endParaRPr lang="en-US" sz="800"/>
          </a:p>
        </xdr:txBody>
      </xdr:sp>
      <xdr:sp macro="" textlink="">
        <xdr:nvSpPr>
          <xdr:cNvPr id="105" name="TextBox 10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06" name="TextBox 10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07" name="Picture 10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16565</xdr:colOff>
      <xdr:row>31</xdr:row>
      <xdr:rowOff>24848</xdr:rowOff>
    </xdr:from>
    <xdr:to>
      <xdr:col>16</xdr:col>
      <xdr:colOff>185194</xdr:colOff>
      <xdr:row>34</xdr:row>
      <xdr:rowOff>168617</xdr:rowOff>
    </xdr:to>
    <xdr:grpSp>
      <xdr:nvGrpSpPr>
        <xdr:cNvPr id="120" name="Group 119"/>
        <xdr:cNvGrpSpPr/>
      </xdr:nvGrpSpPr>
      <xdr:grpSpPr>
        <a:xfrm>
          <a:off x="16565" y="6361044"/>
          <a:ext cx="8285586" cy="715269"/>
          <a:chOff x="0" y="8279"/>
          <a:chExt cx="8302625" cy="703632"/>
        </a:xfrm>
      </xdr:grpSpPr>
      <xdr:sp macro="" textlink="">
        <xdr:nvSpPr>
          <xdr:cNvPr id="121" name="TextBox 12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23" name="TextBox 12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24" name="TextBox 12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25" name="TextBox 12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26" name="TextBox 12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Borujerd-60000-ARF-BOM-07</a:t>
            </a:r>
            <a:endParaRPr lang="en-US" sz="800"/>
          </a:p>
        </xdr:txBody>
      </xdr:sp>
      <xdr:sp macro="" textlink="">
        <xdr:nvSpPr>
          <xdr:cNvPr id="127" name="TextBox 12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5</a:t>
            </a:r>
            <a:endParaRPr lang="en-US" sz="800"/>
          </a:p>
        </xdr:txBody>
      </xdr:sp>
      <xdr:sp macro="" textlink="">
        <xdr:nvSpPr>
          <xdr:cNvPr id="128" name="TextBox 12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29" name="TextBox 12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30" name="Picture 12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8283</xdr:colOff>
      <xdr:row>63</xdr:row>
      <xdr:rowOff>16565</xdr:rowOff>
    </xdr:from>
    <xdr:to>
      <xdr:col>16</xdr:col>
      <xdr:colOff>176912</xdr:colOff>
      <xdr:row>66</xdr:row>
      <xdr:rowOff>160334</xdr:rowOff>
    </xdr:to>
    <xdr:grpSp>
      <xdr:nvGrpSpPr>
        <xdr:cNvPr id="131" name="Group 130"/>
        <xdr:cNvGrpSpPr/>
      </xdr:nvGrpSpPr>
      <xdr:grpSpPr>
        <a:xfrm>
          <a:off x="8283" y="12655826"/>
          <a:ext cx="8285586" cy="715269"/>
          <a:chOff x="0" y="8279"/>
          <a:chExt cx="8302625" cy="703632"/>
        </a:xfrm>
      </xdr:grpSpPr>
      <xdr:sp macro="" textlink="">
        <xdr:nvSpPr>
          <xdr:cNvPr id="132" name="TextBox 13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133" name="TextBox 13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4" name="TextBox 13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35" name="TextBox 13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36" name="TextBox 13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37" name="TextBox 13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Borujerd-60000-ARF-BOM-07</a:t>
            </a:r>
            <a:endParaRPr lang="en-US" sz="800"/>
          </a:p>
        </xdr:txBody>
      </xdr:sp>
      <xdr:sp macro="" textlink="">
        <xdr:nvSpPr>
          <xdr:cNvPr id="138" name="TextBox 13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3 of 5</a:t>
            </a:r>
            <a:endParaRPr lang="en-US" sz="800"/>
          </a:p>
        </xdr:txBody>
      </xdr:sp>
      <xdr:sp macro="" textlink="">
        <xdr:nvSpPr>
          <xdr:cNvPr id="139" name="TextBox 13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40" name="TextBox 13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41" name="Picture 14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33130</xdr:colOff>
      <xdr:row>94</xdr:row>
      <xdr:rowOff>8281</xdr:rowOff>
    </xdr:from>
    <xdr:to>
      <xdr:col>16</xdr:col>
      <xdr:colOff>201759</xdr:colOff>
      <xdr:row>97</xdr:row>
      <xdr:rowOff>152050</xdr:rowOff>
    </xdr:to>
    <xdr:grpSp>
      <xdr:nvGrpSpPr>
        <xdr:cNvPr id="142" name="Group 141"/>
        <xdr:cNvGrpSpPr/>
      </xdr:nvGrpSpPr>
      <xdr:grpSpPr>
        <a:xfrm>
          <a:off x="33130" y="18884346"/>
          <a:ext cx="8285586" cy="715269"/>
          <a:chOff x="0" y="8279"/>
          <a:chExt cx="8302625" cy="703632"/>
        </a:xfrm>
      </xdr:grpSpPr>
      <xdr:sp macro="" textlink="">
        <xdr:nvSpPr>
          <xdr:cNvPr id="143" name="TextBox 1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144" name="TextBox 14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5" name="TextBox 1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46" name="TextBox 1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Borujerd-60000-ARF-BOM-07</a:t>
            </a:r>
            <a:endParaRPr lang="en-US" sz="800"/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4 of 5</a:t>
            </a:r>
            <a:endParaRPr lang="en-US" sz="8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51" name="TextBox 1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52" name="Picture 1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123</xdr:row>
      <xdr:rowOff>8283</xdr:rowOff>
    </xdr:from>
    <xdr:to>
      <xdr:col>16</xdr:col>
      <xdr:colOff>168629</xdr:colOff>
      <xdr:row>126</xdr:row>
      <xdr:rowOff>152052</xdr:rowOff>
    </xdr:to>
    <xdr:grpSp>
      <xdr:nvGrpSpPr>
        <xdr:cNvPr id="153" name="Group 152"/>
        <xdr:cNvGrpSpPr/>
      </xdr:nvGrpSpPr>
      <xdr:grpSpPr>
        <a:xfrm>
          <a:off x="0" y="25112870"/>
          <a:ext cx="8285586" cy="715269"/>
          <a:chOff x="0" y="8279"/>
          <a:chExt cx="8302625" cy="703632"/>
        </a:xfrm>
      </xdr:grpSpPr>
      <xdr:sp macro="" textlink="">
        <xdr:nvSpPr>
          <xdr:cNvPr id="154" name="TextBox 15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155" name="TextBox 15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56" name="TextBox 15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57" name="TextBox 15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58" name="TextBox 15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59" name="TextBox 15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Borujerd-60000-ARF-BOM-07</a:t>
            </a:r>
            <a:endParaRPr lang="en-US" sz="800"/>
          </a:p>
        </xdr:txBody>
      </xdr:sp>
      <xdr:sp macro="" textlink="">
        <xdr:nvSpPr>
          <xdr:cNvPr id="160" name="TextBox 15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5 of 5</a:t>
            </a:r>
            <a:endParaRPr lang="en-US" sz="800"/>
          </a:p>
        </xdr:txBody>
      </xdr:sp>
      <xdr:sp macro="" textlink="">
        <xdr:nvSpPr>
          <xdr:cNvPr id="161" name="TextBox 16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62" name="TextBox 16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63" name="Picture 16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30</xdr:row>
      <xdr:rowOff>69395</xdr:rowOff>
    </xdr:from>
    <xdr:to>
      <xdr:col>14</xdr:col>
      <xdr:colOff>255788</xdr:colOff>
      <xdr:row>34</xdr:row>
      <xdr:rowOff>129445</xdr:rowOff>
    </xdr:to>
    <xdr:grpSp>
      <xdr:nvGrpSpPr>
        <xdr:cNvPr id="2" name="Group 1"/>
        <xdr:cNvGrpSpPr/>
      </xdr:nvGrpSpPr>
      <xdr:grpSpPr>
        <a:xfrm>
          <a:off x="30538" y="5755820"/>
          <a:ext cx="7569025" cy="78395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4575" cy="675057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Product:Damper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Borujerd-60000-Damper-BOM-01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16</xdr:row>
      <xdr:rowOff>93002</xdr:rowOff>
    </xdr:from>
    <xdr:to>
      <xdr:col>14</xdr:col>
      <xdr:colOff>255788</xdr:colOff>
      <xdr:row>20</xdr:row>
      <xdr:rowOff>153052</xdr:rowOff>
    </xdr:to>
    <xdr:grpSp>
      <xdr:nvGrpSpPr>
        <xdr:cNvPr id="2" name="Group 1"/>
        <xdr:cNvGrpSpPr/>
      </xdr:nvGrpSpPr>
      <xdr:grpSpPr>
        <a:xfrm>
          <a:off x="30538" y="3233531"/>
          <a:ext cx="7578550" cy="77850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82264" cy="670975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Coil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Borujerd-60000-Coil-BOM-01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52950</xdr:colOff>
      <xdr:row>19</xdr:row>
      <xdr:rowOff>36973</xdr:rowOff>
    </xdr:from>
    <xdr:to>
      <xdr:col>14</xdr:col>
      <xdr:colOff>278200</xdr:colOff>
      <xdr:row>23</xdr:row>
      <xdr:rowOff>97022</xdr:rowOff>
    </xdr:to>
    <xdr:grpSp>
      <xdr:nvGrpSpPr>
        <xdr:cNvPr id="2" name="Group 1"/>
        <xdr:cNvGrpSpPr/>
      </xdr:nvGrpSpPr>
      <xdr:grpSpPr>
        <a:xfrm>
          <a:off x="52950" y="3774714"/>
          <a:ext cx="7582491" cy="79577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81326" cy="683925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Product:Static</a:t>
            </a:r>
            <a:r>
              <a:rPr lang="en-US" sz="800" baseline="0"/>
              <a:t> Water Filter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Borujerd-60000-Static</a:t>
            </a:r>
            <a:r>
              <a:rPr lang="en-US" sz="800" baseline="0"/>
              <a:t> Water Filter-BOM-01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11</xdr:row>
      <xdr:rowOff>64188</xdr:rowOff>
    </xdr:from>
    <xdr:to>
      <xdr:col>14</xdr:col>
      <xdr:colOff>264592</xdr:colOff>
      <xdr:row>15</xdr:row>
      <xdr:rowOff>124236</xdr:rowOff>
    </xdr:to>
    <xdr:grpSp>
      <xdr:nvGrpSpPr>
        <xdr:cNvPr id="2" name="Group 1"/>
        <xdr:cNvGrpSpPr/>
      </xdr:nvGrpSpPr>
      <xdr:grpSpPr>
        <a:xfrm>
          <a:off x="39342" y="2335534"/>
          <a:ext cx="7566827" cy="79274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9704" cy="681651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Product:Pumping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No.:Nasaji Borujerd-60000-Pumping-BOM-01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27</xdr:row>
      <xdr:rowOff>64188</xdr:rowOff>
    </xdr:from>
    <xdr:to>
      <xdr:col>14</xdr:col>
      <xdr:colOff>264592</xdr:colOff>
      <xdr:row>31</xdr:row>
      <xdr:rowOff>124236</xdr:rowOff>
    </xdr:to>
    <xdr:grpSp>
      <xdr:nvGrpSpPr>
        <xdr:cNvPr id="2" name="Group 1"/>
        <xdr:cNvGrpSpPr/>
      </xdr:nvGrpSpPr>
      <xdr:grpSpPr>
        <a:xfrm>
          <a:off x="39342" y="5232536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Product:Ventilation Door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Borujerd-60000-Ventilation Door-BOM-01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26</xdr:row>
      <xdr:rowOff>64188</xdr:rowOff>
    </xdr:from>
    <xdr:to>
      <xdr:col>14</xdr:col>
      <xdr:colOff>272874</xdr:colOff>
      <xdr:row>30</xdr:row>
      <xdr:rowOff>124235</xdr:rowOff>
    </xdr:to>
    <xdr:grpSp>
      <xdr:nvGrpSpPr>
        <xdr:cNvPr id="2" name="Group 1"/>
        <xdr:cNvGrpSpPr/>
      </xdr:nvGrpSpPr>
      <xdr:grpSpPr>
        <a:xfrm>
          <a:off x="47624" y="5157992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Nozzle</a:t>
            </a:r>
            <a:r>
              <a:rPr lang="en-US" sz="800" baseline="0"/>
              <a:t> Bank</a:t>
            </a:r>
            <a:endParaRPr lang="en-US" sz="8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Borujerd-60000-Nozzle Bank-BOM-01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44919</xdr:rowOff>
    </xdr:from>
    <xdr:to>
      <xdr:col>14</xdr:col>
      <xdr:colOff>129512</xdr:colOff>
      <xdr:row>29</xdr:row>
      <xdr:rowOff>93008</xdr:rowOff>
    </xdr:to>
    <xdr:grpSp>
      <xdr:nvGrpSpPr>
        <xdr:cNvPr id="2" name="Group 1"/>
        <xdr:cNvGrpSpPr/>
      </xdr:nvGrpSpPr>
      <xdr:grpSpPr>
        <a:xfrm>
          <a:off x="0" y="4884810"/>
          <a:ext cx="7570918" cy="762464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762206" cy="667913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Eliminator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No.:Nasaji Borujerd-60000-Eliminator-BOM-01 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2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22411</xdr:colOff>
      <xdr:row>45</xdr:row>
      <xdr:rowOff>22411</xdr:rowOff>
    </xdr:from>
    <xdr:to>
      <xdr:col>14</xdr:col>
      <xdr:colOff>151923</xdr:colOff>
      <xdr:row>49</xdr:row>
      <xdr:rowOff>70501</xdr:rowOff>
    </xdr:to>
    <xdr:grpSp>
      <xdr:nvGrpSpPr>
        <xdr:cNvPr id="33" name="Group 32"/>
        <xdr:cNvGrpSpPr/>
      </xdr:nvGrpSpPr>
      <xdr:grpSpPr>
        <a:xfrm>
          <a:off x="22411" y="8898520"/>
          <a:ext cx="7570918" cy="762465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13608</xdr:colOff>
      <xdr:row>33</xdr:row>
      <xdr:rowOff>13608</xdr:rowOff>
    </xdr:from>
    <xdr:to>
      <xdr:col>17</xdr:col>
      <xdr:colOff>96158</xdr:colOff>
      <xdr:row>36</xdr:row>
      <xdr:rowOff>145740</xdr:rowOff>
    </xdr:to>
    <xdr:grpSp>
      <xdr:nvGrpSpPr>
        <xdr:cNvPr id="42" name="Group 41"/>
        <xdr:cNvGrpSpPr/>
      </xdr:nvGrpSpPr>
      <xdr:grpSpPr>
        <a:xfrm>
          <a:off x="13608" y="6282249"/>
          <a:ext cx="8762206" cy="667913"/>
          <a:chOff x="0" y="8279"/>
          <a:chExt cx="832167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Eliminator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No.:Nasaji Borujerd-60000-Eliminator-BOM-01 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2</a:t>
            </a:r>
            <a:endParaRPr lang="en-US" sz="80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21</xdr:row>
      <xdr:rowOff>130449</xdr:rowOff>
    </xdr:from>
    <xdr:to>
      <xdr:col>14</xdr:col>
      <xdr:colOff>272874</xdr:colOff>
      <xdr:row>26</xdr:row>
      <xdr:rowOff>8279</xdr:rowOff>
    </xdr:to>
    <xdr:grpSp>
      <xdr:nvGrpSpPr>
        <xdr:cNvPr id="2" name="Group 1"/>
        <xdr:cNvGrpSpPr/>
      </xdr:nvGrpSpPr>
      <xdr:grpSpPr>
        <a:xfrm>
          <a:off x="47624" y="4255965"/>
          <a:ext cx="7565453" cy="77079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661003" cy="667913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Air Baffle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Borujerd-60000-Air Baffle-BOM-01</a:t>
            </a: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43142</xdr:colOff>
      <xdr:row>19</xdr:row>
      <xdr:rowOff>99072</xdr:rowOff>
    </xdr:from>
    <xdr:to>
      <xdr:col>13</xdr:col>
      <xdr:colOff>382692</xdr:colOff>
      <xdr:row>24</xdr:row>
      <xdr:rowOff>36979</xdr:rowOff>
    </xdr:to>
    <xdr:grpSp>
      <xdr:nvGrpSpPr>
        <xdr:cNvPr id="2" name="Group 1"/>
        <xdr:cNvGrpSpPr/>
      </xdr:nvGrpSpPr>
      <xdr:grpSpPr>
        <a:xfrm>
          <a:off x="43142" y="3942202"/>
          <a:ext cx="7081593" cy="89040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953623"/>
          <a:ext cx="7081593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66261</xdr:colOff>
      <xdr:row>125</xdr:row>
      <xdr:rowOff>16560</xdr:rowOff>
    </xdr:from>
    <xdr:to>
      <xdr:col>15</xdr:col>
      <xdr:colOff>155676</xdr:colOff>
      <xdr:row>128</xdr:row>
      <xdr:rowOff>282434</xdr:rowOff>
    </xdr:to>
    <xdr:grpSp>
      <xdr:nvGrpSpPr>
        <xdr:cNvPr id="62" name="Group 61"/>
        <xdr:cNvGrpSpPr/>
      </xdr:nvGrpSpPr>
      <xdr:grpSpPr>
        <a:xfrm>
          <a:off x="66261" y="25245386"/>
          <a:ext cx="7634872" cy="853939"/>
          <a:chOff x="19049" y="4911999"/>
          <a:chExt cx="7026100" cy="830330"/>
        </a:xfrm>
      </xdr:grpSpPr>
      <xdr:sp macro="" textlink="">
        <xdr:nvSpPr>
          <xdr:cNvPr id="63" name="Rounded Rectangle 6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64" name="Rounded Rectangle 6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65" name="Rounded Rectangle 6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6" name="Flowchart: Connector 6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Flowchart: Connector 6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Flowchart: Connector 6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Flowchart: Connector 6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Flowchart: Connector 6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24848</xdr:colOff>
      <xdr:row>95</xdr:row>
      <xdr:rowOff>40171</xdr:rowOff>
    </xdr:from>
    <xdr:to>
      <xdr:col>15</xdr:col>
      <xdr:colOff>91108</xdr:colOff>
      <xdr:row>99</xdr:row>
      <xdr:rowOff>165651</xdr:rowOff>
    </xdr:to>
    <xdr:grpSp>
      <xdr:nvGrpSpPr>
        <xdr:cNvPr id="71" name="Group 70"/>
        <xdr:cNvGrpSpPr/>
      </xdr:nvGrpSpPr>
      <xdr:grpSpPr>
        <a:xfrm>
          <a:off x="24848" y="18783714"/>
          <a:ext cx="7611717" cy="663850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41413</xdr:colOff>
      <xdr:row>0</xdr:row>
      <xdr:rowOff>16565</xdr:rowOff>
    </xdr:from>
    <xdr:to>
      <xdr:col>17</xdr:col>
      <xdr:colOff>120395</xdr:colOff>
      <xdr:row>4</xdr:row>
      <xdr:rowOff>2477</xdr:rowOff>
    </xdr:to>
    <xdr:grpSp>
      <xdr:nvGrpSpPr>
        <xdr:cNvPr id="80" name="Group 79"/>
        <xdr:cNvGrpSpPr/>
      </xdr:nvGrpSpPr>
      <xdr:grpSpPr>
        <a:xfrm>
          <a:off x="41413" y="16565"/>
          <a:ext cx="8295330" cy="706499"/>
          <a:chOff x="0" y="8279"/>
          <a:chExt cx="8302625" cy="703632"/>
        </a:xfrm>
      </xdr:grpSpPr>
      <xdr:sp macro="" textlink="">
        <xdr:nvSpPr>
          <xdr:cNvPr id="81" name="TextBox 8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82" name="TextBox 8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83" name="TextBox 8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4" name="TextBox 8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85" name="TextBox 8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Borujerd-60000-ARF-BOM-06</a:t>
            </a:r>
            <a:endParaRPr lang="en-US" sz="800"/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4</a:t>
            </a:r>
            <a:endParaRPr lang="en-US" sz="800"/>
          </a:p>
        </xdr:txBody>
      </xdr:sp>
      <xdr:sp macro="" textlink="">
        <xdr:nvSpPr>
          <xdr:cNvPr id="88" name="TextBox 8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89" name="TextBox 8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24848</xdr:colOff>
      <xdr:row>32</xdr:row>
      <xdr:rowOff>8283</xdr:rowOff>
    </xdr:from>
    <xdr:to>
      <xdr:col>17</xdr:col>
      <xdr:colOff>103830</xdr:colOff>
      <xdr:row>35</xdr:row>
      <xdr:rowOff>143281</xdr:rowOff>
    </xdr:to>
    <xdr:grpSp>
      <xdr:nvGrpSpPr>
        <xdr:cNvPr id="91" name="Group 90"/>
        <xdr:cNvGrpSpPr/>
      </xdr:nvGrpSpPr>
      <xdr:grpSpPr>
        <a:xfrm>
          <a:off x="24848" y="6452153"/>
          <a:ext cx="8295330" cy="706498"/>
          <a:chOff x="0" y="8279"/>
          <a:chExt cx="8302625" cy="703632"/>
        </a:xfrm>
      </xdr:grpSpPr>
      <xdr:sp macro="" textlink="">
        <xdr:nvSpPr>
          <xdr:cNvPr id="92" name="TextBox 9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94" name="TextBox 9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95" name="TextBox 9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96" name="TextBox 9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Borujerd-60000-ARF-BOM-06</a:t>
            </a:r>
            <a:endParaRPr lang="en-US" sz="800"/>
          </a:p>
        </xdr:txBody>
      </xdr:sp>
      <xdr:sp macro="" textlink="">
        <xdr:nvSpPr>
          <xdr:cNvPr id="98" name="TextBox 9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4</a:t>
            </a:r>
            <a:endParaRPr lang="en-US" sz="800"/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00" name="TextBox 9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01" name="Picture 10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63</xdr:row>
      <xdr:rowOff>0</xdr:rowOff>
    </xdr:from>
    <xdr:to>
      <xdr:col>16</xdr:col>
      <xdr:colOff>273941</xdr:colOff>
      <xdr:row>65</xdr:row>
      <xdr:rowOff>132523</xdr:rowOff>
    </xdr:to>
    <xdr:grpSp>
      <xdr:nvGrpSpPr>
        <xdr:cNvPr id="102" name="Group 101"/>
        <xdr:cNvGrpSpPr/>
      </xdr:nvGrpSpPr>
      <xdr:grpSpPr>
        <a:xfrm>
          <a:off x="0" y="12896022"/>
          <a:ext cx="8192115" cy="563218"/>
          <a:chOff x="0" y="8279"/>
          <a:chExt cx="8195768" cy="703632"/>
        </a:xfrm>
      </xdr:grpSpPr>
      <xdr:sp macro="" textlink="">
        <xdr:nvSpPr>
          <xdr:cNvPr id="103" name="TextBox 10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104" name="TextBox 10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05" name="TextBox 10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06" name="TextBox 10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07" name="TextBox 10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Borujerd-60000-ARF-BOM-06</a:t>
            </a:r>
            <a:endParaRPr lang="en-US" sz="800"/>
          </a:p>
        </xdr:txBody>
      </xdr:sp>
      <xdr:sp macro="" textlink="">
        <xdr:nvSpPr>
          <xdr:cNvPr id="109" name="TextBox 10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3 of 4</a:t>
            </a:r>
            <a:endParaRPr lang="en-US" sz="800"/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11" name="TextBox 1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12" name="Picture 1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6" y="38100"/>
            <a:ext cx="604342" cy="54390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16565</xdr:colOff>
      <xdr:row>100</xdr:row>
      <xdr:rowOff>115957</xdr:rowOff>
    </xdr:from>
    <xdr:to>
      <xdr:col>17</xdr:col>
      <xdr:colOff>95547</xdr:colOff>
      <xdr:row>104</xdr:row>
      <xdr:rowOff>132515</xdr:rowOff>
    </xdr:to>
    <xdr:grpSp>
      <xdr:nvGrpSpPr>
        <xdr:cNvPr id="113" name="Group 112"/>
        <xdr:cNvGrpSpPr/>
      </xdr:nvGrpSpPr>
      <xdr:grpSpPr>
        <a:xfrm>
          <a:off x="16565" y="19544472"/>
          <a:ext cx="8295330" cy="706500"/>
          <a:chOff x="0" y="8279"/>
          <a:chExt cx="8302625" cy="703632"/>
        </a:xfrm>
      </xdr:grpSpPr>
      <xdr:sp macro="" textlink="">
        <xdr:nvSpPr>
          <xdr:cNvPr id="114" name="TextBox 11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Borujerd-60000-ARF-BOM-06</a:t>
            </a:r>
            <a:endParaRPr lang="en-US" sz="800"/>
          </a:p>
        </xdr:txBody>
      </xdr:sp>
      <xdr:sp macro="" textlink="">
        <xdr:nvSpPr>
          <xdr:cNvPr id="120" name="TextBox 11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4 of 4</a:t>
            </a:r>
            <a:endParaRPr lang="en-US" sz="800"/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22" name="TextBox 12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23" name="Picture 12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26</xdr:row>
      <xdr:rowOff>47625</xdr:rowOff>
    </xdr:from>
    <xdr:to>
      <xdr:col>15</xdr:col>
      <xdr:colOff>187150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72075"/>
          <a:ext cx="759760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15</xdr:col>
      <xdr:colOff>187150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58525"/>
          <a:ext cx="759760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28575</xdr:rowOff>
    </xdr:from>
    <xdr:to>
      <xdr:col>17</xdr:col>
      <xdr:colOff>40054</xdr:colOff>
      <xdr:row>4</xdr:row>
      <xdr:rowOff>14901</xdr:rowOff>
    </xdr:to>
    <xdr:grpSp>
      <xdr:nvGrpSpPr>
        <xdr:cNvPr id="42" name="Group 41"/>
        <xdr:cNvGrpSpPr/>
      </xdr:nvGrpSpPr>
      <xdr:grpSpPr>
        <a:xfrm>
          <a:off x="19050" y="28575"/>
          <a:ext cx="8250604" cy="710226"/>
          <a:chOff x="0" y="8279"/>
          <a:chExt cx="830262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Borujerd-60000-ARF-BOM-05</a:t>
            </a:r>
            <a:endParaRPr lang="en-US" sz="800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2</a:t>
            </a:r>
            <a:endParaRPr lang="en-US" sz="80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32</xdr:row>
      <xdr:rowOff>9525</xdr:rowOff>
    </xdr:from>
    <xdr:to>
      <xdr:col>17</xdr:col>
      <xdr:colOff>21004</xdr:colOff>
      <xdr:row>35</xdr:row>
      <xdr:rowOff>148251</xdr:rowOff>
    </xdr:to>
    <xdr:grpSp>
      <xdr:nvGrpSpPr>
        <xdr:cNvPr id="53" name="Group 52"/>
        <xdr:cNvGrpSpPr/>
      </xdr:nvGrpSpPr>
      <xdr:grpSpPr>
        <a:xfrm>
          <a:off x="0" y="6276975"/>
          <a:ext cx="8250604" cy="710226"/>
          <a:chOff x="0" y="8279"/>
          <a:chExt cx="8302625" cy="703632"/>
        </a:xfrm>
      </xdr:grpSpPr>
      <xdr:sp macro="" textlink="">
        <xdr:nvSpPr>
          <xdr:cNvPr id="54" name="TextBox 5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Borujerd-60000-ARF-BOM-05</a:t>
            </a:r>
            <a:endParaRPr lang="en-US" sz="800"/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2</a:t>
            </a:r>
            <a:endParaRPr lang="en-US" sz="800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62" name="TextBox 6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18</xdr:row>
      <xdr:rowOff>123825</xdr:rowOff>
    </xdr:from>
    <xdr:to>
      <xdr:col>16</xdr:col>
      <xdr:colOff>349075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7380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19050</xdr:rowOff>
    </xdr:from>
    <xdr:to>
      <xdr:col>18</xdr:col>
      <xdr:colOff>182929</xdr:colOff>
      <xdr:row>4</xdr:row>
      <xdr:rowOff>5376</xdr:rowOff>
    </xdr:to>
    <xdr:grpSp>
      <xdr:nvGrpSpPr>
        <xdr:cNvPr id="23" name="Group 22"/>
        <xdr:cNvGrpSpPr/>
      </xdr:nvGrpSpPr>
      <xdr:grpSpPr>
        <a:xfrm>
          <a:off x="19050" y="19050"/>
          <a:ext cx="8279179" cy="710226"/>
          <a:chOff x="0" y="8279"/>
          <a:chExt cx="8302625" cy="703632"/>
        </a:xfrm>
      </xdr:grpSpPr>
      <xdr:sp macro="" textlink="">
        <xdr:nvSpPr>
          <xdr:cNvPr id="24" name="TextBox 2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Borujerd-60000-ARF-BOM-04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2" name="TextBox 3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23</xdr:row>
      <xdr:rowOff>85725</xdr:rowOff>
    </xdr:from>
    <xdr:to>
      <xdr:col>16</xdr:col>
      <xdr:colOff>358600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7380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16</xdr:col>
      <xdr:colOff>301450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547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9525</xdr:rowOff>
    </xdr:from>
    <xdr:to>
      <xdr:col>18</xdr:col>
      <xdr:colOff>30529</xdr:colOff>
      <xdr:row>3</xdr:row>
      <xdr:rowOff>148251</xdr:rowOff>
    </xdr:to>
    <xdr:grpSp>
      <xdr:nvGrpSpPr>
        <xdr:cNvPr id="42" name="Group 41"/>
        <xdr:cNvGrpSpPr/>
      </xdr:nvGrpSpPr>
      <xdr:grpSpPr>
        <a:xfrm>
          <a:off x="19050" y="9525"/>
          <a:ext cx="8269654" cy="710226"/>
          <a:chOff x="0" y="8279"/>
          <a:chExt cx="830262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Borujerd-60000-ARF-BOM-03</a:t>
            </a:r>
            <a:endParaRPr lang="en-US" sz="800"/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2</a:t>
            </a:r>
            <a:endParaRPr lang="en-US" sz="80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9525</xdr:colOff>
      <xdr:row>30</xdr:row>
      <xdr:rowOff>9525</xdr:rowOff>
    </xdr:from>
    <xdr:to>
      <xdr:col>18</xdr:col>
      <xdr:colOff>21004</xdr:colOff>
      <xdr:row>33</xdr:row>
      <xdr:rowOff>148251</xdr:rowOff>
    </xdr:to>
    <xdr:grpSp>
      <xdr:nvGrpSpPr>
        <xdr:cNvPr id="53" name="Group 52"/>
        <xdr:cNvGrpSpPr/>
      </xdr:nvGrpSpPr>
      <xdr:grpSpPr>
        <a:xfrm>
          <a:off x="9525" y="6238875"/>
          <a:ext cx="8269654" cy="710226"/>
          <a:chOff x="0" y="8279"/>
          <a:chExt cx="8302625" cy="703632"/>
        </a:xfrm>
      </xdr:grpSpPr>
      <xdr:sp macro="" textlink="">
        <xdr:nvSpPr>
          <xdr:cNvPr id="54" name="TextBox 5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Borujerd-60000-ARF-BOM-03</a:t>
            </a:r>
            <a:endParaRPr lang="en-US" sz="800"/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2</a:t>
            </a:r>
            <a:endParaRPr lang="en-US" sz="800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62" name="TextBox 6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24</xdr:row>
      <xdr:rowOff>66675</xdr:rowOff>
    </xdr:from>
    <xdr:to>
      <xdr:col>15</xdr:col>
      <xdr:colOff>349075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45225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9525</xdr:rowOff>
    </xdr:from>
    <xdr:to>
      <xdr:col>17</xdr:col>
      <xdr:colOff>154354</xdr:colOff>
      <xdr:row>3</xdr:row>
      <xdr:rowOff>148251</xdr:rowOff>
    </xdr:to>
    <xdr:grpSp>
      <xdr:nvGrpSpPr>
        <xdr:cNvPr id="22" name="Group 21"/>
        <xdr:cNvGrpSpPr/>
      </xdr:nvGrpSpPr>
      <xdr:grpSpPr>
        <a:xfrm>
          <a:off x="0" y="9525"/>
          <a:ext cx="8260129" cy="710226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Borujerd-60000-ARF-BOM-02</a:t>
            </a:r>
            <a:endParaRPr lang="en-US" sz="8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17</xdr:col>
      <xdr:colOff>196850</xdr:colOff>
      <xdr:row>3</xdr:row>
      <xdr:rowOff>151182</xdr:rowOff>
    </xdr:to>
    <xdr:grpSp>
      <xdr:nvGrpSpPr>
        <xdr:cNvPr id="2" name="Group 1"/>
        <xdr:cNvGrpSpPr/>
      </xdr:nvGrpSpPr>
      <xdr:grpSpPr>
        <a:xfrm>
          <a:off x="0" y="19050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</a:t>
            </a:r>
            <a:r>
              <a:rPr lang="fa-IR" sz="800" baseline="0">
                <a:cs typeface="B Nazanin" panose="00000400000000000000" pitchFamily="2" charset="-78"/>
              </a:rPr>
              <a:t>فیلتر روتاری هوا</a:t>
            </a:r>
            <a:endParaRPr lang="en-US" sz="80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  <a:r>
              <a:rPr lang="fa-IR" sz="800">
                <a:cs typeface="B Nazanin" panose="00000400000000000000" pitchFamily="2" charset="-78"/>
              </a:rPr>
              <a:t>سیستم</a:t>
            </a:r>
            <a:r>
              <a:rPr lang="fa-IR" sz="800" baseline="0">
                <a:cs typeface="B Nazanin" panose="00000400000000000000" pitchFamily="2" charset="-78"/>
              </a:rPr>
              <a:t> محرک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Borujerd-60000-ARF-BOM-01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8792</xdr:colOff>
      <xdr:row>26</xdr:row>
      <xdr:rowOff>57882</xdr:rowOff>
    </xdr:from>
    <xdr:to>
      <xdr:col>15</xdr:col>
      <xdr:colOff>376917</xdr:colOff>
      <xdr:row>30</xdr:row>
      <xdr:rowOff>139182</xdr:rowOff>
    </xdr:to>
    <xdr:grpSp>
      <xdr:nvGrpSpPr>
        <xdr:cNvPr id="13" name="Group 12"/>
        <xdr:cNvGrpSpPr/>
      </xdr:nvGrpSpPr>
      <xdr:grpSpPr>
        <a:xfrm>
          <a:off x="8792" y="4982307"/>
          <a:ext cx="7711900" cy="843300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5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10</xdr:row>
      <xdr:rowOff>102527</xdr:rowOff>
    </xdr:from>
    <xdr:to>
      <xdr:col>14</xdr:col>
      <xdr:colOff>255788</xdr:colOff>
      <xdr:row>14</xdr:row>
      <xdr:rowOff>162576</xdr:rowOff>
    </xdr:to>
    <xdr:grpSp>
      <xdr:nvGrpSpPr>
        <xdr:cNvPr id="2" name="Group 1"/>
        <xdr:cNvGrpSpPr/>
      </xdr:nvGrpSpPr>
      <xdr:grpSpPr>
        <a:xfrm>
          <a:off x="30538" y="2173179"/>
          <a:ext cx="7571924" cy="78891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Product:Insurment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</a:t>
            </a:r>
            <a:r>
              <a:rPr lang="en-US" sz="800" baseline="0"/>
              <a:t> Borujerd-60000-Insurment-BOM-01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18</xdr:row>
      <xdr:rowOff>102527</xdr:rowOff>
    </xdr:from>
    <xdr:to>
      <xdr:col>14</xdr:col>
      <xdr:colOff>255788</xdr:colOff>
      <xdr:row>22</xdr:row>
      <xdr:rowOff>162576</xdr:rowOff>
    </xdr:to>
    <xdr:grpSp>
      <xdr:nvGrpSpPr>
        <xdr:cNvPr id="2" name="Group 1"/>
        <xdr:cNvGrpSpPr/>
      </xdr:nvGrpSpPr>
      <xdr:grpSpPr>
        <a:xfrm>
          <a:off x="30538" y="3617252"/>
          <a:ext cx="7569025" cy="783949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4575" cy="675057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Product:Fan</a:t>
            </a:r>
            <a:r>
              <a:rPr lang="en-US" sz="800" baseline="0"/>
              <a:t> Case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60000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r>
              <a:rPr lang="fa-IR" sz="800"/>
              <a:t>نساجی</a:t>
            </a:r>
            <a:r>
              <a:rPr lang="fa-IR" sz="800" baseline="0"/>
              <a:t> بروجرد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Nasaji Borujerd-60000-Fan Case-BOM-01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45"/>
  <sheetViews>
    <sheetView view="pageLayout" zoomScale="115" zoomScaleNormal="100" zoomScalePageLayoutView="115" workbookViewId="0">
      <selection activeCell="R145" sqref="R145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6.42578125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6.85546875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140625" customWidth="1"/>
    <col min="18" max="18" width="3.85546875" customWidth="1"/>
    <col min="19" max="19" width="6.1406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686</v>
      </c>
      <c r="R7" s="16" t="s">
        <v>18</v>
      </c>
      <c r="S7" s="2" t="s">
        <v>16</v>
      </c>
    </row>
    <row r="8" spans="1:19" ht="14.25" customHeight="1" x14ac:dyDescent="0.25">
      <c r="A8" s="286" t="s">
        <v>259</v>
      </c>
      <c r="B8" s="287">
        <v>1</v>
      </c>
      <c r="C8" s="286" t="s">
        <v>260</v>
      </c>
      <c r="D8" s="288" t="s">
        <v>261</v>
      </c>
      <c r="E8" s="283">
        <v>1</v>
      </c>
      <c r="F8" s="287">
        <f>E8*B8</f>
        <v>1</v>
      </c>
      <c r="G8" s="289" t="s">
        <v>260</v>
      </c>
      <c r="H8" s="292" t="s">
        <v>262</v>
      </c>
      <c r="I8" s="295">
        <v>1</v>
      </c>
      <c r="J8" s="295">
        <f>I8*F8</f>
        <v>1</v>
      </c>
      <c r="K8" s="48" t="s">
        <v>260</v>
      </c>
      <c r="L8" s="43" t="s">
        <v>263</v>
      </c>
      <c r="M8" s="44" t="s">
        <v>264</v>
      </c>
      <c r="N8" s="45">
        <v>1</v>
      </c>
      <c r="O8" s="45">
        <f t="shared" ref="O8:O13" si="0">N8*$E$8</f>
        <v>1</v>
      </c>
      <c r="P8" s="46">
        <f t="shared" ref="P8:P13" si="1">O8*$B$8</f>
        <v>1</v>
      </c>
      <c r="Q8" s="46">
        <v>2.2000000000000002</v>
      </c>
      <c r="R8" s="46" t="s">
        <v>506</v>
      </c>
      <c r="S8" s="46" t="s">
        <v>44</v>
      </c>
    </row>
    <row r="9" spans="1:19" ht="14.25" customHeight="1" x14ac:dyDescent="0.25">
      <c r="A9" s="286"/>
      <c r="B9" s="287"/>
      <c r="C9" s="286"/>
      <c r="D9" s="288"/>
      <c r="E9" s="283"/>
      <c r="F9" s="287"/>
      <c r="G9" s="290"/>
      <c r="H9" s="293"/>
      <c r="I9" s="296"/>
      <c r="J9" s="296"/>
      <c r="K9" s="48" t="s">
        <v>265</v>
      </c>
      <c r="L9" s="43" t="s">
        <v>266</v>
      </c>
      <c r="M9" s="45" t="s">
        <v>267</v>
      </c>
      <c r="N9" s="45">
        <v>1</v>
      </c>
      <c r="O9" s="45">
        <f t="shared" si="0"/>
        <v>1</v>
      </c>
      <c r="P9" s="46">
        <f t="shared" si="1"/>
        <v>1</v>
      </c>
      <c r="Q9" s="46">
        <v>10.5</v>
      </c>
      <c r="R9" s="46" t="s">
        <v>506</v>
      </c>
      <c r="S9" s="46" t="s">
        <v>44</v>
      </c>
    </row>
    <row r="10" spans="1:19" ht="14.25" customHeight="1" x14ac:dyDescent="0.25">
      <c r="A10" s="286"/>
      <c r="B10" s="287"/>
      <c r="C10" s="286"/>
      <c r="D10" s="288"/>
      <c r="E10" s="283"/>
      <c r="F10" s="287"/>
      <c r="G10" s="290"/>
      <c r="H10" s="293"/>
      <c r="I10" s="296"/>
      <c r="J10" s="296"/>
      <c r="K10" s="48" t="s">
        <v>268</v>
      </c>
      <c r="L10" s="43" t="s">
        <v>269</v>
      </c>
      <c r="M10" s="44" t="s">
        <v>270</v>
      </c>
      <c r="N10" s="45">
        <v>1</v>
      </c>
      <c r="O10" s="45">
        <f t="shared" si="0"/>
        <v>1</v>
      </c>
      <c r="P10" s="46">
        <f t="shared" si="1"/>
        <v>1</v>
      </c>
      <c r="Q10" s="46">
        <v>0.3</v>
      </c>
      <c r="R10" s="46" t="s">
        <v>506</v>
      </c>
      <c r="S10" s="46" t="s">
        <v>44</v>
      </c>
    </row>
    <row r="11" spans="1:19" ht="14.25" customHeight="1" x14ac:dyDescent="0.25">
      <c r="A11" s="286"/>
      <c r="B11" s="287"/>
      <c r="C11" s="286"/>
      <c r="D11" s="288"/>
      <c r="E11" s="283"/>
      <c r="F11" s="287"/>
      <c r="G11" s="291"/>
      <c r="H11" s="294"/>
      <c r="I11" s="297"/>
      <c r="J11" s="297"/>
      <c r="K11" s="48" t="s">
        <v>260</v>
      </c>
      <c r="L11" s="43" t="s">
        <v>271</v>
      </c>
      <c r="M11" s="44" t="s">
        <v>272</v>
      </c>
      <c r="N11" s="45">
        <v>1</v>
      </c>
      <c r="O11" s="45">
        <f t="shared" si="0"/>
        <v>1</v>
      </c>
      <c r="P11" s="46">
        <f t="shared" si="1"/>
        <v>1</v>
      </c>
      <c r="Q11" s="46">
        <v>5.6</v>
      </c>
      <c r="R11" s="46" t="s">
        <v>506</v>
      </c>
      <c r="S11" s="46" t="s">
        <v>44</v>
      </c>
    </row>
    <row r="12" spans="1:19" ht="27" customHeight="1" x14ac:dyDescent="0.25">
      <c r="A12" s="286"/>
      <c r="B12" s="287"/>
      <c r="C12" s="286"/>
      <c r="D12" s="288"/>
      <c r="E12" s="283"/>
      <c r="F12" s="287"/>
      <c r="G12" s="289" t="s">
        <v>265</v>
      </c>
      <c r="H12" s="298" t="s">
        <v>273</v>
      </c>
      <c r="I12" s="300">
        <v>1</v>
      </c>
      <c r="J12" s="300">
        <f>I12*F8</f>
        <v>1</v>
      </c>
      <c r="K12" s="48" t="s">
        <v>260</v>
      </c>
      <c r="L12" s="43" t="s">
        <v>274</v>
      </c>
      <c r="M12" s="45" t="s">
        <v>275</v>
      </c>
      <c r="N12" s="46">
        <v>4</v>
      </c>
      <c r="O12" s="46">
        <f t="shared" si="0"/>
        <v>4</v>
      </c>
      <c r="P12" s="46">
        <f t="shared" si="1"/>
        <v>4</v>
      </c>
      <c r="Q12" s="46">
        <v>4</v>
      </c>
      <c r="R12" s="46" t="s">
        <v>528</v>
      </c>
      <c r="S12" s="46" t="s">
        <v>44</v>
      </c>
    </row>
    <row r="13" spans="1:19" ht="14.25" customHeight="1" x14ac:dyDescent="0.25">
      <c r="A13" s="286"/>
      <c r="B13" s="287"/>
      <c r="C13" s="286"/>
      <c r="D13" s="288"/>
      <c r="E13" s="283"/>
      <c r="F13" s="287"/>
      <c r="G13" s="291"/>
      <c r="H13" s="299"/>
      <c r="I13" s="301"/>
      <c r="J13" s="301"/>
      <c r="K13" s="48" t="s">
        <v>265</v>
      </c>
      <c r="L13" s="43" t="s">
        <v>84</v>
      </c>
      <c r="M13" s="45" t="s">
        <v>276</v>
      </c>
      <c r="N13" s="46">
        <v>4</v>
      </c>
      <c r="O13" s="46">
        <f t="shared" si="0"/>
        <v>4</v>
      </c>
      <c r="P13" s="46">
        <f t="shared" si="1"/>
        <v>4</v>
      </c>
      <c r="Q13" s="46">
        <v>4</v>
      </c>
      <c r="R13" s="46" t="s">
        <v>528</v>
      </c>
      <c r="S13" s="46" t="s">
        <v>44</v>
      </c>
    </row>
    <row r="14" spans="1:19" x14ac:dyDescent="0.25">
      <c r="I14" s="5"/>
      <c r="J14" s="5"/>
    </row>
    <row r="36" spans="1:19" ht="5.25" customHeight="1" x14ac:dyDescent="0.25"/>
    <row r="37" spans="1:19" ht="19.5" x14ac:dyDescent="0.25">
      <c r="A37" s="284" t="s">
        <v>0</v>
      </c>
      <c r="B37" s="285"/>
      <c r="C37" s="11"/>
      <c r="D37" s="12"/>
      <c r="E37" s="12" t="s">
        <v>14</v>
      </c>
      <c r="F37" s="13"/>
      <c r="G37" s="12"/>
      <c r="H37" s="12" t="s">
        <v>13</v>
      </c>
      <c r="I37" s="12"/>
      <c r="J37" s="13"/>
      <c r="K37" s="11"/>
      <c r="L37" s="12"/>
      <c r="M37" s="6" t="s">
        <v>1</v>
      </c>
      <c r="N37" s="12"/>
      <c r="O37" s="12"/>
      <c r="P37" s="12"/>
      <c r="Q37" s="21"/>
      <c r="R37" s="21"/>
      <c r="S37" s="17" t="s">
        <v>15</v>
      </c>
    </row>
    <row r="38" spans="1:19" ht="60" x14ac:dyDescent="0.25">
      <c r="A38" s="20" t="s">
        <v>2</v>
      </c>
      <c r="B38" s="3" t="s">
        <v>3</v>
      </c>
      <c r="C38" s="14" t="s">
        <v>4</v>
      </c>
      <c r="D38" s="15" t="s">
        <v>5</v>
      </c>
      <c r="E38" s="14" t="s">
        <v>6</v>
      </c>
      <c r="F38" s="14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32" t="s">
        <v>7</v>
      </c>
      <c r="L38" s="2" t="s">
        <v>5</v>
      </c>
      <c r="M38" s="31" t="s">
        <v>9</v>
      </c>
      <c r="N38" s="30" t="s">
        <v>8</v>
      </c>
      <c r="O38" s="30" t="s">
        <v>6</v>
      </c>
      <c r="P38" s="30" t="s">
        <v>3</v>
      </c>
      <c r="Q38" s="16" t="s">
        <v>686</v>
      </c>
      <c r="R38" s="16" t="s">
        <v>18</v>
      </c>
      <c r="S38" s="2" t="s">
        <v>16</v>
      </c>
    </row>
    <row r="39" spans="1:19" ht="13.5" customHeight="1" x14ac:dyDescent="0.25">
      <c r="A39" s="304" t="s">
        <v>259</v>
      </c>
      <c r="B39" s="305" t="s">
        <v>19</v>
      </c>
      <c r="C39" s="304" t="s">
        <v>265</v>
      </c>
      <c r="D39" s="306" t="s">
        <v>277</v>
      </c>
      <c r="E39" s="307">
        <v>1</v>
      </c>
      <c r="F39" s="302" t="s">
        <v>19</v>
      </c>
      <c r="G39" s="303" t="s">
        <v>260</v>
      </c>
      <c r="H39" s="316" t="s">
        <v>278</v>
      </c>
      <c r="I39" s="309">
        <v>1</v>
      </c>
      <c r="J39" s="302" t="s">
        <v>19</v>
      </c>
      <c r="K39" s="265" t="s">
        <v>19</v>
      </c>
      <c r="L39" s="47" t="s">
        <v>279</v>
      </c>
      <c r="M39" s="260" t="s">
        <v>280</v>
      </c>
      <c r="N39" s="261">
        <v>8</v>
      </c>
      <c r="O39" s="261">
        <v>8</v>
      </c>
      <c r="P39" s="261">
        <v>8</v>
      </c>
      <c r="Q39" s="262">
        <v>3.2</v>
      </c>
      <c r="R39" s="262" t="s">
        <v>506</v>
      </c>
      <c r="S39" s="53" t="s">
        <v>44</v>
      </c>
    </row>
    <row r="40" spans="1:19" ht="13.5" customHeight="1" x14ac:dyDescent="0.25">
      <c r="A40" s="304"/>
      <c r="B40" s="305"/>
      <c r="C40" s="304"/>
      <c r="D40" s="306"/>
      <c r="E40" s="307"/>
      <c r="F40" s="302"/>
      <c r="G40" s="303"/>
      <c r="H40" s="316"/>
      <c r="I40" s="309"/>
      <c r="J40" s="302"/>
      <c r="K40" s="265" t="s">
        <v>21</v>
      </c>
      <c r="L40" s="47" t="s">
        <v>281</v>
      </c>
      <c r="M40" s="260" t="s">
        <v>282</v>
      </c>
      <c r="N40" s="261">
        <v>8</v>
      </c>
      <c r="O40" s="261">
        <v>8</v>
      </c>
      <c r="P40" s="261">
        <v>8</v>
      </c>
      <c r="Q40" s="262">
        <v>1.2</v>
      </c>
      <c r="R40" s="262" t="s">
        <v>506</v>
      </c>
      <c r="S40" s="53" t="s">
        <v>44</v>
      </c>
    </row>
    <row r="41" spans="1:19" ht="13.5" customHeight="1" x14ac:dyDescent="0.25">
      <c r="A41" s="304"/>
      <c r="B41" s="305"/>
      <c r="C41" s="304"/>
      <c r="D41" s="306"/>
      <c r="E41" s="307"/>
      <c r="F41" s="302"/>
      <c r="G41" s="303"/>
      <c r="H41" s="316"/>
      <c r="I41" s="309"/>
      <c r="J41" s="302"/>
      <c r="K41" s="265" t="s">
        <v>23</v>
      </c>
      <c r="L41" s="47" t="s">
        <v>283</v>
      </c>
      <c r="M41" s="260" t="s">
        <v>284</v>
      </c>
      <c r="N41" s="261">
        <v>4</v>
      </c>
      <c r="O41" s="261">
        <v>4</v>
      </c>
      <c r="P41" s="261">
        <v>4</v>
      </c>
      <c r="Q41" s="262">
        <v>30</v>
      </c>
      <c r="R41" s="262" t="s">
        <v>506</v>
      </c>
      <c r="S41" s="53" t="s">
        <v>44</v>
      </c>
    </row>
    <row r="42" spans="1:19" ht="13.5" customHeight="1" x14ac:dyDescent="0.25">
      <c r="A42" s="304"/>
      <c r="B42" s="305"/>
      <c r="C42" s="304"/>
      <c r="D42" s="306"/>
      <c r="E42" s="307"/>
      <c r="F42" s="302"/>
      <c r="G42" s="303"/>
      <c r="H42" s="316"/>
      <c r="I42" s="309"/>
      <c r="J42" s="302"/>
      <c r="K42" s="265" t="s">
        <v>26</v>
      </c>
      <c r="L42" s="47" t="s">
        <v>285</v>
      </c>
      <c r="M42" s="260" t="s">
        <v>687</v>
      </c>
      <c r="N42" s="261">
        <v>4</v>
      </c>
      <c r="O42" s="261">
        <v>4</v>
      </c>
      <c r="P42" s="261">
        <v>4</v>
      </c>
      <c r="Q42" s="262">
        <v>6</v>
      </c>
      <c r="R42" s="262" t="s">
        <v>506</v>
      </c>
      <c r="S42" s="53" t="s">
        <v>44</v>
      </c>
    </row>
    <row r="43" spans="1:19" ht="13.5" customHeight="1" x14ac:dyDescent="0.25">
      <c r="A43" s="304"/>
      <c r="B43" s="305"/>
      <c r="C43" s="304"/>
      <c r="D43" s="306"/>
      <c r="E43" s="307"/>
      <c r="F43" s="302"/>
      <c r="G43" s="303"/>
      <c r="H43" s="316"/>
      <c r="I43" s="309"/>
      <c r="J43" s="302"/>
      <c r="K43" s="265" t="s">
        <v>29</v>
      </c>
      <c r="L43" s="47" t="s">
        <v>135</v>
      </c>
      <c r="M43" s="260" t="s">
        <v>286</v>
      </c>
      <c r="N43" s="261">
        <v>8</v>
      </c>
      <c r="O43" s="261">
        <v>8</v>
      </c>
      <c r="P43" s="261">
        <v>8</v>
      </c>
      <c r="Q43" s="262">
        <v>3</v>
      </c>
      <c r="R43" s="262" t="s">
        <v>506</v>
      </c>
      <c r="S43" s="53" t="s">
        <v>44</v>
      </c>
    </row>
    <row r="44" spans="1:19" ht="13.5" customHeight="1" x14ac:dyDescent="0.25">
      <c r="A44" s="304"/>
      <c r="B44" s="305"/>
      <c r="C44" s="304"/>
      <c r="D44" s="306"/>
      <c r="E44" s="307"/>
      <c r="F44" s="302"/>
      <c r="G44" s="303"/>
      <c r="H44" s="316"/>
      <c r="I44" s="309"/>
      <c r="J44" s="302"/>
      <c r="K44" s="265" t="s">
        <v>32</v>
      </c>
      <c r="L44" s="201" t="s">
        <v>287</v>
      </c>
      <c r="M44" s="260" t="s">
        <v>288</v>
      </c>
      <c r="N44" s="261">
        <v>2</v>
      </c>
      <c r="O44" s="261">
        <v>2</v>
      </c>
      <c r="P44" s="261">
        <v>2</v>
      </c>
      <c r="Q44" s="262">
        <v>0.4</v>
      </c>
      <c r="R44" s="262" t="s">
        <v>506</v>
      </c>
      <c r="S44" s="53" t="s">
        <v>44</v>
      </c>
    </row>
    <row r="45" spans="1:19" ht="13.5" customHeight="1" x14ac:dyDescent="0.25">
      <c r="A45" s="304"/>
      <c r="B45" s="305"/>
      <c r="C45" s="304"/>
      <c r="D45" s="306"/>
      <c r="E45" s="307"/>
      <c r="F45" s="302"/>
      <c r="G45" s="303"/>
      <c r="H45" s="316"/>
      <c r="I45" s="309"/>
      <c r="J45" s="302"/>
      <c r="K45" s="265" t="s">
        <v>35</v>
      </c>
      <c r="L45" s="47" t="s">
        <v>289</v>
      </c>
      <c r="M45" s="260" t="s">
        <v>290</v>
      </c>
      <c r="N45" s="261">
        <v>4</v>
      </c>
      <c r="O45" s="261">
        <v>4</v>
      </c>
      <c r="P45" s="261">
        <v>4</v>
      </c>
      <c r="Q45" s="262">
        <v>4</v>
      </c>
      <c r="R45" s="262" t="s">
        <v>528</v>
      </c>
      <c r="S45" s="53" t="s">
        <v>44</v>
      </c>
    </row>
    <row r="46" spans="1:19" ht="13.5" customHeight="1" x14ac:dyDescent="0.25">
      <c r="A46" s="304"/>
      <c r="B46" s="305"/>
      <c r="C46" s="304"/>
      <c r="D46" s="306"/>
      <c r="E46" s="307"/>
      <c r="F46" s="302"/>
      <c r="G46" s="303"/>
      <c r="H46" s="316"/>
      <c r="I46" s="309"/>
      <c r="J46" s="302"/>
      <c r="K46" s="265" t="s">
        <v>37</v>
      </c>
      <c r="L46" s="47" t="s">
        <v>291</v>
      </c>
      <c r="M46" s="260" t="s">
        <v>292</v>
      </c>
      <c r="N46" s="261">
        <v>4</v>
      </c>
      <c r="O46" s="261">
        <v>4</v>
      </c>
      <c r="P46" s="261">
        <v>4</v>
      </c>
      <c r="Q46" s="262">
        <v>2.4</v>
      </c>
      <c r="R46" s="262" t="s">
        <v>506</v>
      </c>
      <c r="S46" s="53" t="s">
        <v>44</v>
      </c>
    </row>
    <row r="47" spans="1:19" ht="13.5" customHeight="1" x14ac:dyDescent="0.25">
      <c r="A47" s="304"/>
      <c r="B47" s="305"/>
      <c r="C47" s="304"/>
      <c r="D47" s="306"/>
      <c r="E47" s="307"/>
      <c r="F47" s="302"/>
      <c r="G47" s="303"/>
      <c r="H47" s="316"/>
      <c r="I47" s="309"/>
      <c r="J47" s="302"/>
      <c r="K47" s="265" t="s">
        <v>40</v>
      </c>
      <c r="L47" s="47" t="s">
        <v>293</v>
      </c>
      <c r="M47" s="260" t="s">
        <v>294</v>
      </c>
      <c r="N47" s="261">
        <v>60</v>
      </c>
      <c r="O47" s="261">
        <v>60</v>
      </c>
      <c r="P47" s="261">
        <v>60</v>
      </c>
      <c r="Q47" s="262">
        <v>60</v>
      </c>
      <c r="R47" s="262" t="s">
        <v>528</v>
      </c>
      <c r="S47" s="53" t="s">
        <v>44</v>
      </c>
    </row>
    <row r="48" spans="1:19" ht="13.5" customHeight="1" x14ac:dyDescent="0.25">
      <c r="A48" s="304"/>
      <c r="B48" s="305"/>
      <c r="C48" s="304"/>
      <c r="D48" s="306"/>
      <c r="E48" s="307"/>
      <c r="F48" s="302"/>
      <c r="G48" s="303"/>
      <c r="H48" s="316"/>
      <c r="I48" s="309"/>
      <c r="J48" s="302"/>
      <c r="K48" s="265" t="s">
        <v>51</v>
      </c>
      <c r="L48" s="47" t="s">
        <v>295</v>
      </c>
      <c r="M48" s="260" t="s">
        <v>296</v>
      </c>
      <c r="N48" s="261">
        <v>2</v>
      </c>
      <c r="O48" s="261">
        <v>2</v>
      </c>
      <c r="P48" s="261">
        <v>2</v>
      </c>
      <c r="Q48" s="262">
        <v>14</v>
      </c>
      <c r="R48" s="262" t="s">
        <v>506</v>
      </c>
      <c r="S48" s="53" t="s">
        <v>44</v>
      </c>
    </row>
    <row r="49" spans="1:19" ht="13.5" customHeight="1" x14ac:dyDescent="0.25">
      <c r="A49" s="304"/>
      <c r="B49" s="305"/>
      <c r="C49" s="304"/>
      <c r="D49" s="306"/>
      <c r="E49" s="307"/>
      <c r="F49" s="302"/>
      <c r="G49" s="303"/>
      <c r="H49" s="316"/>
      <c r="I49" s="309"/>
      <c r="J49" s="302"/>
      <c r="K49" s="265" t="s">
        <v>52</v>
      </c>
      <c r="L49" s="47" t="s">
        <v>297</v>
      </c>
      <c r="M49" s="260" t="s">
        <v>298</v>
      </c>
      <c r="N49" s="261">
        <v>6</v>
      </c>
      <c r="O49" s="261">
        <v>6</v>
      </c>
      <c r="P49" s="261">
        <v>6</v>
      </c>
      <c r="Q49" s="262">
        <v>6</v>
      </c>
      <c r="R49" s="262" t="s">
        <v>528</v>
      </c>
      <c r="S49" s="53" t="s">
        <v>44</v>
      </c>
    </row>
    <row r="50" spans="1:19" ht="13.5" customHeight="1" x14ac:dyDescent="0.25">
      <c r="A50" s="304"/>
      <c r="B50" s="305"/>
      <c r="C50" s="304"/>
      <c r="D50" s="306"/>
      <c r="E50" s="307"/>
      <c r="F50" s="302"/>
      <c r="G50" s="303"/>
      <c r="H50" s="316"/>
      <c r="I50" s="309"/>
      <c r="J50" s="302"/>
      <c r="K50" s="265" t="s">
        <v>53</v>
      </c>
      <c r="L50" s="47" t="s">
        <v>299</v>
      </c>
      <c r="M50" s="260" t="s">
        <v>300</v>
      </c>
      <c r="N50" s="261">
        <v>6</v>
      </c>
      <c r="O50" s="261">
        <v>6</v>
      </c>
      <c r="P50" s="261">
        <v>6</v>
      </c>
      <c r="Q50" s="262">
        <v>6</v>
      </c>
      <c r="R50" s="262" t="s">
        <v>528</v>
      </c>
      <c r="S50" s="53" t="s">
        <v>44</v>
      </c>
    </row>
    <row r="51" spans="1:19" ht="13.5" customHeight="1" x14ac:dyDescent="0.25">
      <c r="A51" s="304"/>
      <c r="B51" s="305"/>
      <c r="C51" s="304"/>
      <c r="D51" s="306"/>
      <c r="E51" s="307"/>
      <c r="F51" s="302"/>
      <c r="G51" s="303" t="s">
        <v>265</v>
      </c>
      <c r="H51" s="308" t="s">
        <v>301</v>
      </c>
      <c r="I51" s="302" t="s">
        <v>19</v>
      </c>
      <c r="J51" s="302" t="s">
        <v>19</v>
      </c>
      <c r="K51" s="265" t="s">
        <v>57</v>
      </c>
      <c r="L51" s="47" t="s">
        <v>302</v>
      </c>
      <c r="M51" s="260" t="s">
        <v>303</v>
      </c>
      <c r="N51" s="261">
        <v>1</v>
      </c>
      <c r="O51" s="261">
        <v>1</v>
      </c>
      <c r="P51" s="261">
        <v>1</v>
      </c>
      <c r="Q51" s="262">
        <v>2.2999999999999998</v>
      </c>
      <c r="R51" s="262" t="s">
        <v>506</v>
      </c>
      <c r="S51" s="267" t="s">
        <v>44</v>
      </c>
    </row>
    <row r="52" spans="1:19" ht="13.5" customHeight="1" x14ac:dyDescent="0.25">
      <c r="A52" s="304"/>
      <c r="B52" s="305"/>
      <c r="C52" s="304"/>
      <c r="D52" s="306"/>
      <c r="E52" s="307"/>
      <c r="F52" s="302"/>
      <c r="G52" s="303"/>
      <c r="H52" s="308"/>
      <c r="I52" s="302"/>
      <c r="J52" s="302"/>
      <c r="K52" s="265" t="s">
        <v>58</v>
      </c>
      <c r="L52" s="47" t="s">
        <v>304</v>
      </c>
      <c r="M52" s="260" t="s">
        <v>305</v>
      </c>
      <c r="N52" s="261">
        <v>1</v>
      </c>
      <c r="O52" s="261">
        <v>1</v>
      </c>
      <c r="P52" s="261">
        <v>1</v>
      </c>
      <c r="Q52" s="262">
        <v>1.3</v>
      </c>
      <c r="R52" s="262" t="s">
        <v>506</v>
      </c>
      <c r="S52" s="53" t="s">
        <v>44</v>
      </c>
    </row>
    <row r="53" spans="1:19" ht="13.5" customHeight="1" x14ac:dyDescent="0.25">
      <c r="A53" s="304"/>
      <c r="B53" s="305"/>
      <c r="C53" s="304"/>
      <c r="D53" s="306"/>
      <c r="E53" s="307"/>
      <c r="F53" s="302"/>
      <c r="G53" s="303"/>
      <c r="H53" s="308"/>
      <c r="I53" s="302"/>
      <c r="J53" s="302"/>
      <c r="K53" s="265" t="s">
        <v>65</v>
      </c>
      <c r="L53" s="47" t="s">
        <v>306</v>
      </c>
      <c r="M53" s="260" t="s">
        <v>307</v>
      </c>
      <c r="N53" s="261">
        <v>1</v>
      </c>
      <c r="O53" s="261">
        <v>1</v>
      </c>
      <c r="P53" s="261">
        <v>1</v>
      </c>
      <c r="Q53" s="262">
        <v>1.5</v>
      </c>
      <c r="R53" s="262" t="s">
        <v>506</v>
      </c>
      <c r="S53" s="53" t="s">
        <v>44</v>
      </c>
    </row>
    <row r="54" spans="1:19" ht="13.5" customHeight="1" x14ac:dyDescent="0.25">
      <c r="A54" s="304"/>
      <c r="B54" s="305"/>
      <c r="C54" s="304"/>
      <c r="D54" s="306"/>
      <c r="E54" s="307"/>
      <c r="F54" s="302"/>
      <c r="G54" s="303"/>
      <c r="H54" s="308"/>
      <c r="I54" s="302"/>
      <c r="J54" s="302"/>
      <c r="K54" s="265" t="s">
        <v>66</v>
      </c>
      <c r="L54" s="47" t="s">
        <v>308</v>
      </c>
      <c r="M54" s="260" t="s">
        <v>298</v>
      </c>
      <c r="N54" s="261">
        <v>4</v>
      </c>
      <c r="O54" s="261">
        <v>4</v>
      </c>
      <c r="P54" s="261">
        <v>4</v>
      </c>
      <c r="Q54" s="262">
        <v>4</v>
      </c>
      <c r="R54" s="262" t="s">
        <v>528</v>
      </c>
      <c r="S54" s="53" t="s">
        <v>44</v>
      </c>
    </row>
    <row r="55" spans="1:19" ht="13.5" customHeight="1" x14ac:dyDescent="0.25">
      <c r="A55" s="304"/>
      <c r="B55" s="305"/>
      <c r="C55" s="304"/>
      <c r="D55" s="306"/>
      <c r="E55" s="307"/>
      <c r="F55" s="302"/>
      <c r="G55" s="303"/>
      <c r="H55" s="308"/>
      <c r="I55" s="302"/>
      <c r="J55" s="302"/>
      <c r="K55" s="265" t="s">
        <v>67</v>
      </c>
      <c r="L55" s="47" t="s">
        <v>309</v>
      </c>
      <c r="M55" s="260" t="s">
        <v>300</v>
      </c>
      <c r="N55" s="261">
        <v>4</v>
      </c>
      <c r="O55" s="261">
        <v>4</v>
      </c>
      <c r="P55" s="261">
        <v>4</v>
      </c>
      <c r="Q55" s="263">
        <v>4</v>
      </c>
      <c r="R55" s="262" t="s">
        <v>528</v>
      </c>
      <c r="S55" s="53" t="s">
        <v>44</v>
      </c>
    </row>
    <row r="56" spans="1:19" ht="13.5" customHeight="1" x14ac:dyDescent="0.25">
      <c r="A56" s="304"/>
      <c r="B56" s="305"/>
      <c r="C56" s="304"/>
      <c r="D56" s="306"/>
      <c r="E56" s="307"/>
      <c r="F56" s="302"/>
      <c r="G56" s="303" t="s">
        <v>268</v>
      </c>
      <c r="H56" s="308" t="s">
        <v>310</v>
      </c>
      <c r="I56" s="302" t="s">
        <v>19</v>
      </c>
      <c r="J56" s="302" t="s">
        <v>19</v>
      </c>
      <c r="K56" s="265" t="s">
        <v>69</v>
      </c>
      <c r="L56" s="47" t="s">
        <v>311</v>
      </c>
      <c r="M56" s="23" t="s">
        <v>312</v>
      </c>
      <c r="N56" s="261">
        <v>18</v>
      </c>
      <c r="O56" s="261">
        <v>18</v>
      </c>
      <c r="P56" s="261">
        <v>18</v>
      </c>
      <c r="Q56" s="263">
        <v>18</v>
      </c>
      <c r="R56" s="262" t="s">
        <v>528</v>
      </c>
      <c r="S56" s="53" t="s">
        <v>44</v>
      </c>
    </row>
    <row r="57" spans="1:19" ht="13.5" customHeight="1" x14ac:dyDescent="0.25">
      <c r="A57" s="304"/>
      <c r="B57" s="305"/>
      <c r="C57" s="304"/>
      <c r="D57" s="306"/>
      <c r="E57" s="307"/>
      <c r="F57" s="302"/>
      <c r="G57" s="303"/>
      <c r="H57" s="308"/>
      <c r="I57" s="302"/>
      <c r="J57" s="302"/>
      <c r="K57" s="265" t="s">
        <v>70</v>
      </c>
      <c r="L57" s="47" t="s">
        <v>313</v>
      </c>
      <c r="M57" s="23" t="s">
        <v>85</v>
      </c>
      <c r="N57" s="261">
        <v>18</v>
      </c>
      <c r="O57" s="261">
        <v>18</v>
      </c>
      <c r="P57" s="261">
        <v>18</v>
      </c>
      <c r="Q57" s="263">
        <v>18</v>
      </c>
      <c r="R57" s="262" t="s">
        <v>528</v>
      </c>
      <c r="S57" s="53" t="s">
        <v>44</v>
      </c>
    </row>
    <row r="58" spans="1:19" ht="13.5" customHeight="1" x14ac:dyDescent="0.25">
      <c r="A58" s="304"/>
      <c r="B58" s="305"/>
      <c r="C58" s="304"/>
      <c r="D58" s="306"/>
      <c r="E58" s="307"/>
      <c r="F58" s="302"/>
      <c r="G58" s="303"/>
      <c r="H58" s="308"/>
      <c r="I58" s="302"/>
      <c r="J58" s="302"/>
      <c r="K58" s="265" t="s">
        <v>77</v>
      </c>
      <c r="L58" s="47" t="s">
        <v>314</v>
      </c>
      <c r="M58" s="23" t="s">
        <v>315</v>
      </c>
      <c r="N58" s="264">
        <v>4</v>
      </c>
      <c r="O58" s="264">
        <v>4</v>
      </c>
      <c r="P58" s="264">
        <v>4</v>
      </c>
      <c r="Q58" s="263">
        <v>4</v>
      </c>
      <c r="R58" s="262" t="s">
        <v>528</v>
      </c>
      <c r="S58" s="256" t="s">
        <v>44</v>
      </c>
    </row>
    <row r="59" spans="1:19" s="55" customFormat="1" ht="15.75" x14ac:dyDescent="0.25">
      <c r="I59" s="5"/>
      <c r="J59" s="5"/>
      <c r="K59" s="56"/>
      <c r="L59" s="57"/>
      <c r="M59" s="58"/>
      <c r="N59" s="58"/>
      <c r="O59" s="59"/>
      <c r="P59" s="60"/>
      <c r="Q59" s="60"/>
      <c r="R59" s="60"/>
    </row>
    <row r="60" spans="1:19" s="55" customFormat="1" ht="15.75" x14ac:dyDescent="0.25">
      <c r="K60" s="56"/>
      <c r="L60" s="57"/>
      <c r="M60" s="58"/>
      <c r="N60" s="58"/>
      <c r="O60" s="59"/>
      <c r="P60" s="60"/>
      <c r="Q60" s="60"/>
      <c r="R60" s="60"/>
    </row>
    <row r="61" spans="1:19" s="55" customFormat="1" ht="15.75" x14ac:dyDescent="0.25">
      <c r="K61" s="56"/>
      <c r="L61" s="57"/>
      <c r="M61" s="58"/>
      <c r="N61" s="58"/>
      <c r="O61" s="59"/>
      <c r="P61" s="60"/>
      <c r="Q61" s="60"/>
      <c r="R61" s="60"/>
    </row>
    <row r="62" spans="1:19" s="55" customFormat="1" ht="15.75" x14ac:dyDescent="0.25">
      <c r="K62" s="56"/>
      <c r="L62" s="57"/>
      <c r="M62" s="58"/>
      <c r="N62" s="58"/>
      <c r="O62" s="59"/>
      <c r="P62" s="59"/>
      <c r="Q62" s="59"/>
      <c r="R62" s="59"/>
    </row>
    <row r="68" spans="1:19" ht="19.5" x14ac:dyDescent="0.25">
      <c r="A68" s="284" t="s">
        <v>0</v>
      </c>
      <c r="B68" s="285"/>
      <c r="C68" s="11"/>
      <c r="D68" s="12"/>
      <c r="E68" s="12" t="s">
        <v>14</v>
      </c>
      <c r="F68" s="13"/>
      <c r="G68" s="12"/>
      <c r="H68" s="12" t="s">
        <v>13</v>
      </c>
      <c r="I68" s="12"/>
      <c r="J68" s="13"/>
      <c r="K68" s="11"/>
      <c r="L68" s="12"/>
      <c r="M68" s="6" t="s">
        <v>1</v>
      </c>
      <c r="N68" s="12"/>
      <c r="O68" s="12"/>
      <c r="P68" s="12"/>
      <c r="Q68" s="21"/>
      <c r="R68" s="21"/>
      <c r="S68" s="17" t="s">
        <v>15</v>
      </c>
    </row>
    <row r="69" spans="1:19" ht="60" x14ac:dyDescent="0.25">
      <c r="A69" s="20" t="s">
        <v>2</v>
      </c>
      <c r="B69" s="3" t="s">
        <v>3</v>
      </c>
      <c r="C69" s="14" t="s">
        <v>4</v>
      </c>
      <c r="D69" s="15" t="s">
        <v>5</v>
      </c>
      <c r="E69" s="14" t="s">
        <v>6</v>
      </c>
      <c r="F69" s="14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6" t="s">
        <v>3</v>
      </c>
      <c r="Q69" s="16" t="s">
        <v>686</v>
      </c>
      <c r="R69" s="16" t="s">
        <v>18</v>
      </c>
      <c r="S69" s="2" t="s">
        <v>16</v>
      </c>
    </row>
    <row r="70" spans="1:19" ht="13.5" customHeight="1" x14ac:dyDescent="0.25">
      <c r="A70" s="310" t="s">
        <v>259</v>
      </c>
      <c r="B70" s="313" t="s">
        <v>19</v>
      </c>
      <c r="C70" s="310" t="s">
        <v>268</v>
      </c>
      <c r="D70" s="310" t="s">
        <v>316</v>
      </c>
      <c r="E70" s="313" t="s">
        <v>19</v>
      </c>
      <c r="F70" s="313" t="s">
        <v>19</v>
      </c>
      <c r="G70" s="317" t="s">
        <v>260</v>
      </c>
      <c r="H70" s="318" t="s">
        <v>317</v>
      </c>
      <c r="I70" s="319">
        <v>1</v>
      </c>
      <c r="J70" s="320" t="s">
        <v>19</v>
      </c>
      <c r="K70" s="265" t="s">
        <v>19</v>
      </c>
      <c r="L70" s="52" t="s">
        <v>318</v>
      </c>
      <c r="M70" s="261" t="s">
        <v>319</v>
      </c>
      <c r="N70" s="261">
        <v>1</v>
      </c>
      <c r="O70" s="261">
        <v>1</v>
      </c>
      <c r="P70" s="261">
        <v>1</v>
      </c>
      <c r="Q70" s="263">
        <v>1.4</v>
      </c>
      <c r="R70" s="263" t="s">
        <v>506</v>
      </c>
      <c r="S70" s="53" t="s">
        <v>44</v>
      </c>
    </row>
    <row r="71" spans="1:19" ht="13.5" customHeight="1" x14ac:dyDescent="0.25">
      <c r="A71" s="311"/>
      <c r="B71" s="314"/>
      <c r="C71" s="311"/>
      <c r="D71" s="311"/>
      <c r="E71" s="314"/>
      <c r="F71" s="314"/>
      <c r="G71" s="317"/>
      <c r="H71" s="318"/>
      <c r="I71" s="319"/>
      <c r="J71" s="320"/>
      <c r="K71" s="265" t="s">
        <v>21</v>
      </c>
      <c r="L71" s="52" t="s">
        <v>320</v>
      </c>
      <c r="M71" s="261" t="s">
        <v>321</v>
      </c>
      <c r="N71" s="261">
        <v>2</v>
      </c>
      <c r="O71" s="261">
        <v>2</v>
      </c>
      <c r="P71" s="261">
        <v>2</v>
      </c>
      <c r="Q71" s="263">
        <v>0.5</v>
      </c>
      <c r="R71" s="263" t="s">
        <v>506</v>
      </c>
      <c r="S71" s="53" t="s">
        <v>44</v>
      </c>
    </row>
    <row r="72" spans="1:19" ht="13.5" customHeight="1" x14ac:dyDescent="0.25">
      <c r="A72" s="311"/>
      <c r="B72" s="314"/>
      <c r="C72" s="311"/>
      <c r="D72" s="311"/>
      <c r="E72" s="314"/>
      <c r="F72" s="314"/>
      <c r="G72" s="317"/>
      <c r="H72" s="318"/>
      <c r="I72" s="319"/>
      <c r="J72" s="320"/>
      <c r="K72" s="265" t="s">
        <v>23</v>
      </c>
      <c r="L72" s="52" t="s">
        <v>322</v>
      </c>
      <c r="M72" s="261" t="s">
        <v>323</v>
      </c>
      <c r="N72" s="261">
        <v>1</v>
      </c>
      <c r="O72" s="261">
        <v>1</v>
      </c>
      <c r="P72" s="261">
        <v>1</v>
      </c>
      <c r="Q72" s="263">
        <v>1.2</v>
      </c>
      <c r="R72" s="263" t="s">
        <v>506</v>
      </c>
      <c r="S72" s="53" t="s">
        <v>44</v>
      </c>
    </row>
    <row r="73" spans="1:19" ht="13.5" customHeight="1" x14ac:dyDescent="0.25">
      <c r="A73" s="311"/>
      <c r="B73" s="314"/>
      <c r="C73" s="311"/>
      <c r="D73" s="311"/>
      <c r="E73" s="314"/>
      <c r="F73" s="314"/>
      <c r="G73" s="317"/>
      <c r="H73" s="318"/>
      <c r="I73" s="319"/>
      <c r="J73" s="320"/>
      <c r="K73" s="265" t="s">
        <v>26</v>
      </c>
      <c r="L73" s="52" t="s">
        <v>324</v>
      </c>
      <c r="M73" s="261" t="s">
        <v>325</v>
      </c>
      <c r="N73" s="261">
        <v>2</v>
      </c>
      <c r="O73" s="261">
        <v>2</v>
      </c>
      <c r="P73" s="261">
        <v>2</v>
      </c>
      <c r="Q73" s="263">
        <v>1.1000000000000001</v>
      </c>
      <c r="R73" s="263" t="s">
        <v>506</v>
      </c>
      <c r="S73" s="53" t="s">
        <v>44</v>
      </c>
    </row>
    <row r="74" spans="1:19" ht="13.5" customHeight="1" x14ac:dyDescent="0.25">
      <c r="A74" s="311"/>
      <c r="B74" s="314"/>
      <c r="C74" s="311"/>
      <c r="D74" s="311"/>
      <c r="E74" s="314"/>
      <c r="F74" s="314"/>
      <c r="G74" s="317"/>
      <c r="H74" s="318"/>
      <c r="I74" s="319"/>
      <c r="J74" s="320"/>
      <c r="K74" s="265" t="s">
        <v>29</v>
      </c>
      <c r="L74" s="52" t="s">
        <v>326</v>
      </c>
      <c r="M74" s="260" t="s">
        <v>688</v>
      </c>
      <c r="N74" s="261">
        <v>4</v>
      </c>
      <c r="O74" s="261">
        <v>4</v>
      </c>
      <c r="P74" s="261">
        <v>4</v>
      </c>
      <c r="Q74" s="263">
        <v>0.04</v>
      </c>
      <c r="R74" s="263" t="s">
        <v>506</v>
      </c>
      <c r="S74" s="53" t="s">
        <v>44</v>
      </c>
    </row>
    <row r="75" spans="1:19" ht="13.5" customHeight="1" x14ac:dyDescent="0.25">
      <c r="A75" s="311"/>
      <c r="B75" s="314"/>
      <c r="C75" s="311"/>
      <c r="D75" s="311"/>
      <c r="E75" s="314"/>
      <c r="F75" s="314"/>
      <c r="G75" s="317"/>
      <c r="H75" s="318"/>
      <c r="I75" s="319"/>
      <c r="J75" s="320"/>
      <c r="K75" s="265" t="s">
        <v>32</v>
      </c>
      <c r="L75" s="52" t="s">
        <v>327</v>
      </c>
      <c r="M75" s="260" t="s">
        <v>689</v>
      </c>
      <c r="N75" s="261">
        <v>4</v>
      </c>
      <c r="O75" s="261">
        <v>4</v>
      </c>
      <c r="P75" s="261">
        <v>4</v>
      </c>
      <c r="Q75" s="263">
        <v>0.28000000000000003</v>
      </c>
      <c r="R75" s="263" t="s">
        <v>506</v>
      </c>
      <c r="S75" s="53" t="s">
        <v>44</v>
      </c>
    </row>
    <row r="76" spans="1:19" ht="13.5" customHeight="1" x14ac:dyDescent="0.25">
      <c r="A76" s="311"/>
      <c r="B76" s="314"/>
      <c r="C76" s="311"/>
      <c r="D76" s="311"/>
      <c r="E76" s="314"/>
      <c r="F76" s="314"/>
      <c r="G76" s="317"/>
      <c r="H76" s="318"/>
      <c r="I76" s="319"/>
      <c r="J76" s="320"/>
      <c r="K76" s="265" t="s">
        <v>35</v>
      </c>
      <c r="L76" s="52" t="s">
        <v>328</v>
      </c>
      <c r="M76" s="268" t="s">
        <v>329</v>
      </c>
      <c r="N76" s="261">
        <v>4</v>
      </c>
      <c r="O76" s="261">
        <v>4</v>
      </c>
      <c r="P76" s="261">
        <v>4</v>
      </c>
      <c r="Q76" s="263">
        <v>4</v>
      </c>
      <c r="R76" s="263" t="s">
        <v>528</v>
      </c>
      <c r="S76" s="53" t="s">
        <v>44</v>
      </c>
    </row>
    <row r="77" spans="1:19" ht="13.5" customHeight="1" x14ac:dyDescent="0.25">
      <c r="A77" s="311"/>
      <c r="B77" s="314"/>
      <c r="C77" s="311"/>
      <c r="D77" s="311"/>
      <c r="E77" s="314"/>
      <c r="F77" s="314"/>
      <c r="G77" s="317"/>
      <c r="H77" s="318"/>
      <c r="I77" s="319"/>
      <c r="J77" s="320"/>
      <c r="K77" s="265" t="s">
        <v>37</v>
      </c>
      <c r="L77" s="52" t="s">
        <v>330</v>
      </c>
      <c r="M77" s="268" t="s">
        <v>331</v>
      </c>
      <c r="N77" s="261">
        <v>12</v>
      </c>
      <c r="O77" s="261">
        <v>12</v>
      </c>
      <c r="P77" s="261">
        <v>12</v>
      </c>
      <c r="Q77" s="263">
        <v>12</v>
      </c>
      <c r="R77" s="263" t="s">
        <v>528</v>
      </c>
      <c r="S77" s="53" t="s">
        <v>44</v>
      </c>
    </row>
    <row r="78" spans="1:19" ht="13.5" customHeight="1" x14ac:dyDescent="0.25">
      <c r="A78" s="311"/>
      <c r="B78" s="314"/>
      <c r="C78" s="311"/>
      <c r="D78" s="311"/>
      <c r="E78" s="314"/>
      <c r="F78" s="314"/>
      <c r="G78" s="317"/>
      <c r="H78" s="318"/>
      <c r="I78" s="319"/>
      <c r="J78" s="320"/>
      <c r="K78" s="265" t="s">
        <v>40</v>
      </c>
      <c r="L78" s="52" t="s">
        <v>332</v>
      </c>
      <c r="M78" s="268" t="s">
        <v>75</v>
      </c>
      <c r="N78" s="261">
        <v>12</v>
      </c>
      <c r="O78" s="261">
        <v>12</v>
      </c>
      <c r="P78" s="261">
        <v>12</v>
      </c>
      <c r="Q78" s="263">
        <v>12</v>
      </c>
      <c r="R78" s="263" t="s">
        <v>528</v>
      </c>
      <c r="S78" s="53" t="s">
        <v>44</v>
      </c>
    </row>
    <row r="79" spans="1:19" ht="13.5" customHeight="1" x14ac:dyDescent="0.25">
      <c r="A79" s="311"/>
      <c r="B79" s="314"/>
      <c r="C79" s="311"/>
      <c r="D79" s="311"/>
      <c r="E79" s="314"/>
      <c r="F79" s="314"/>
      <c r="G79" s="317"/>
      <c r="H79" s="318"/>
      <c r="I79" s="319"/>
      <c r="J79" s="320"/>
      <c r="K79" s="265" t="s">
        <v>51</v>
      </c>
      <c r="L79" s="52" t="s">
        <v>333</v>
      </c>
      <c r="M79" s="268" t="s">
        <v>334</v>
      </c>
      <c r="N79" s="261">
        <v>20</v>
      </c>
      <c r="O79" s="261">
        <v>20</v>
      </c>
      <c r="P79" s="261">
        <v>20</v>
      </c>
      <c r="Q79" s="263">
        <v>20</v>
      </c>
      <c r="R79" s="263" t="s">
        <v>528</v>
      </c>
      <c r="S79" s="53" t="s">
        <v>44</v>
      </c>
    </row>
    <row r="80" spans="1:19" ht="13.5" customHeight="1" x14ac:dyDescent="0.25">
      <c r="A80" s="311"/>
      <c r="B80" s="314"/>
      <c r="C80" s="311"/>
      <c r="D80" s="311"/>
      <c r="E80" s="314"/>
      <c r="F80" s="314"/>
      <c r="G80" s="304" t="s">
        <v>265</v>
      </c>
      <c r="H80" s="286" t="s">
        <v>335</v>
      </c>
      <c r="I80" s="305" t="s">
        <v>19</v>
      </c>
      <c r="J80" s="305" t="s">
        <v>19</v>
      </c>
      <c r="K80" s="265" t="s">
        <v>52</v>
      </c>
      <c r="L80" s="52" t="s">
        <v>336</v>
      </c>
      <c r="M80" s="268" t="s">
        <v>323</v>
      </c>
      <c r="N80" s="261">
        <v>1</v>
      </c>
      <c r="O80" s="261">
        <v>1</v>
      </c>
      <c r="P80" s="261">
        <v>1</v>
      </c>
      <c r="Q80" s="263">
        <v>1.2</v>
      </c>
      <c r="R80" s="263" t="s">
        <v>506</v>
      </c>
      <c r="S80" s="53" t="s">
        <v>44</v>
      </c>
    </row>
    <row r="81" spans="1:19" ht="13.5" customHeight="1" x14ac:dyDescent="0.25">
      <c r="A81" s="311"/>
      <c r="B81" s="314"/>
      <c r="C81" s="311"/>
      <c r="D81" s="311"/>
      <c r="E81" s="314"/>
      <c r="F81" s="314"/>
      <c r="G81" s="304"/>
      <c r="H81" s="286"/>
      <c r="I81" s="305"/>
      <c r="J81" s="305"/>
      <c r="K81" s="265" t="s">
        <v>53</v>
      </c>
      <c r="L81" s="52" t="s">
        <v>337</v>
      </c>
      <c r="M81" s="268" t="s">
        <v>323</v>
      </c>
      <c r="N81" s="261">
        <v>1</v>
      </c>
      <c r="O81" s="261">
        <v>1</v>
      </c>
      <c r="P81" s="261">
        <v>1</v>
      </c>
      <c r="Q81" s="261">
        <v>1.2</v>
      </c>
      <c r="R81" s="263" t="s">
        <v>506</v>
      </c>
      <c r="S81" s="53" t="s">
        <v>44</v>
      </c>
    </row>
    <row r="82" spans="1:19" ht="13.5" customHeight="1" x14ac:dyDescent="0.25">
      <c r="A82" s="311"/>
      <c r="B82" s="314"/>
      <c r="C82" s="311"/>
      <c r="D82" s="311"/>
      <c r="E82" s="314"/>
      <c r="F82" s="314"/>
      <c r="G82" s="304"/>
      <c r="H82" s="286"/>
      <c r="I82" s="305"/>
      <c r="J82" s="305"/>
      <c r="K82" s="265" t="s">
        <v>57</v>
      </c>
      <c r="L82" s="52" t="s">
        <v>338</v>
      </c>
      <c r="M82" s="260" t="s">
        <v>688</v>
      </c>
      <c r="N82" s="261">
        <v>4</v>
      </c>
      <c r="O82" s="261">
        <v>4</v>
      </c>
      <c r="P82" s="261">
        <v>4</v>
      </c>
      <c r="Q82" s="261">
        <v>0.04</v>
      </c>
      <c r="R82" s="263" t="s">
        <v>506</v>
      </c>
      <c r="S82" s="53" t="s">
        <v>44</v>
      </c>
    </row>
    <row r="83" spans="1:19" ht="13.5" customHeight="1" x14ac:dyDescent="0.25">
      <c r="A83" s="311"/>
      <c r="B83" s="314"/>
      <c r="C83" s="311"/>
      <c r="D83" s="311"/>
      <c r="E83" s="314"/>
      <c r="F83" s="314"/>
      <c r="G83" s="304"/>
      <c r="H83" s="286"/>
      <c r="I83" s="305"/>
      <c r="J83" s="305"/>
      <c r="K83" s="265" t="s">
        <v>58</v>
      </c>
      <c r="L83" s="52" t="s">
        <v>339</v>
      </c>
      <c r="M83" s="260" t="s">
        <v>689</v>
      </c>
      <c r="N83" s="261">
        <v>4</v>
      </c>
      <c r="O83" s="261">
        <v>4</v>
      </c>
      <c r="P83" s="261">
        <v>4</v>
      </c>
      <c r="Q83" s="261">
        <v>0.28000000000000003</v>
      </c>
      <c r="R83" s="263" t="s">
        <v>506</v>
      </c>
      <c r="S83" s="53" t="s">
        <v>44</v>
      </c>
    </row>
    <row r="84" spans="1:19" ht="13.5" customHeight="1" x14ac:dyDescent="0.25">
      <c r="A84" s="311"/>
      <c r="B84" s="314"/>
      <c r="C84" s="311"/>
      <c r="D84" s="311"/>
      <c r="E84" s="314"/>
      <c r="F84" s="314"/>
      <c r="G84" s="304"/>
      <c r="H84" s="286"/>
      <c r="I84" s="305"/>
      <c r="J84" s="305"/>
      <c r="K84" s="265" t="s">
        <v>65</v>
      </c>
      <c r="L84" s="52" t="s">
        <v>328</v>
      </c>
      <c r="M84" s="268" t="s">
        <v>329</v>
      </c>
      <c r="N84" s="261">
        <v>4</v>
      </c>
      <c r="O84" s="261">
        <v>4</v>
      </c>
      <c r="P84" s="261">
        <v>4</v>
      </c>
      <c r="Q84" s="261">
        <v>4</v>
      </c>
      <c r="R84" s="263" t="s">
        <v>528</v>
      </c>
      <c r="S84" s="53" t="s">
        <v>44</v>
      </c>
    </row>
    <row r="85" spans="1:19" ht="13.5" customHeight="1" x14ac:dyDescent="0.25">
      <c r="A85" s="311"/>
      <c r="B85" s="314"/>
      <c r="C85" s="311"/>
      <c r="D85" s="311"/>
      <c r="E85" s="314"/>
      <c r="F85" s="314"/>
      <c r="G85" s="304"/>
      <c r="H85" s="286"/>
      <c r="I85" s="305"/>
      <c r="J85" s="305"/>
      <c r="K85" s="265" t="s">
        <v>66</v>
      </c>
      <c r="L85" s="52" t="s">
        <v>330</v>
      </c>
      <c r="M85" s="268" t="s">
        <v>331</v>
      </c>
      <c r="N85" s="261">
        <v>8</v>
      </c>
      <c r="O85" s="261">
        <v>8</v>
      </c>
      <c r="P85" s="261">
        <v>8</v>
      </c>
      <c r="Q85" s="263">
        <v>8</v>
      </c>
      <c r="R85" s="263" t="s">
        <v>528</v>
      </c>
      <c r="S85" s="53" t="s">
        <v>44</v>
      </c>
    </row>
    <row r="86" spans="1:19" ht="13.5" customHeight="1" x14ac:dyDescent="0.25">
      <c r="A86" s="311"/>
      <c r="B86" s="314"/>
      <c r="C86" s="311"/>
      <c r="D86" s="311"/>
      <c r="E86" s="314"/>
      <c r="F86" s="314"/>
      <c r="G86" s="304"/>
      <c r="H86" s="286"/>
      <c r="I86" s="305"/>
      <c r="J86" s="305"/>
      <c r="K86" s="265" t="s">
        <v>67</v>
      </c>
      <c r="L86" s="52" t="s">
        <v>332</v>
      </c>
      <c r="M86" s="268" t="s">
        <v>75</v>
      </c>
      <c r="N86" s="261">
        <v>8</v>
      </c>
      <c r="O86" s="261">
        <v>8</v>
      </c>
      <c r="P86" s="261">
        <v>8</v>
      </c>
      <c r="Q86" s="263">
        <v>8</v>
      </c>
      <c r="R86" s="263" t="s">
        <v>528</v>
      </c>
      <c r="S86" s="256" t="s">
        <v>44</v>
      </c>
    </row>
    <row r="87" spans="1:19" ht="13.5" customHeight="1" x14ac:dyDescent="0.25">
      <c r="A87" s="312"/>
      <c r="B87" s="315"/>
      <c r="C87" s="312"/>
      <c r="D87" s="312"/>
      <c r="E87" s="315"/>
      <c r="F87" s="315"/>
      <c r="G87" s="304"/>
      <c r="H87" s="286"/>
      <c r="I87" s="305"/>
      <c r="J87" s="305"/>
      <c r="K87" s="265" t="s">
        <v>68</v>
      </c>
      <c r="L87" s="52" t="s">
        <v>333</v>
      </c>
      <c r="M87" s="268" t="s">
        <v>334</v>
      </c>
      <c r="N87" s="261">
        <v>16</v>
      </c>
      <c r="O87" s="261">
        <v>16</v>
      </c>
      <c r="P87" s="261">
        <v>16</v>
      </c>
      <c r="Q87" s="263">
        <v>16</v>
      </c>
      <c r="R87" s="263" t="s">
        <v>528</v>
      </c>
      <c r="S87" s="256" t="s">
        <v>44</v>
      </c>
    </row>
    <row r="99" spans="1:19" ht="19.5" x14ac:dyDescent="0.25">
      <c r="A99" s="284" t="s">
        <v>0</v>
      </c>
      <c r="B99" s="285"/>
      <c r="C99" s="11"/>
      <c r="D99" s="12"/>
      <c r="E99" s="12" t="s">
        <v>14</v>
      </c>
      <c r="F99" s="13"/>
      <c r="G99" s="12"/>
      <c r="H99" s="12" t="s">
        <v>13</v>
      </c>
      <c r="I99" s="12"/>
      <c r="J99" s="13"/>
      <c r="K99" s="11"/>
      <c r="L99" s="12"/>
      <c r="M99" s="6" t="s">
        <v>1</v>
      </c>
      <c r="N99" s="12"/>
      <c r="O99" s="12"/>
      <c r="P99" s="12"/>
      <c r="Q99" s="21"/>
      <c r="R99" s="21"/>
      <c r="S99" s="17" t="s">
        <v>15</v>
      </c>
    </row>
    <row r="100" spans="1:19" ht="60" x14ac:dyDescent="0.25">
      <c r="A100" s="20" t="s">
        <v>2</v>
      </c>
      <c r="B100" s="3" t="s">
        <v>3</v>
      </c>
      <c r="C100" s="14" t="s">
        <v>4</v>
      </c>
      <c r="D100" s="15" t="s">
        <v>5</v>
      </c>
      <c r="E100" s="14" t="s">
        <v>6</v>
      </c>
      <c r="F100" s="14" t="s">
        <v>3</v>
      </c>
      <c r="G100" s="3" t="s">
        <v>10</v>
      </c>
      <c r="H100" s="3" t="s">
        <v>5</v>
      </c>
      <c r="I100" s="3" t="s">
        <v>12</v>
      </c>
      <c r="J100" s="3" t="s">
        <v>11</v>
      </c>
      <c r="K100" s="1" t="s">
        <v>7</v>
      </c>
      <c r="L100" s="2" t="s">
        <v>5</v>
      </c>
      <c r="M100" s="2" t="s">
        <v>9</v>
      </c>
      <c r="N100" s="3" t="s">
        <v>8</v>
      </c>
      <c r="O100" s="3" t="s">
        <v>6</v>
      </c>
      <c r="P100" s="16" t="s">
        <v>3</v>
      </c>
      <c r="Q100" s="16" t="s">
        <v>686</v>
      </c>
      <c r="R100" s="16" t="s">
        <v>18</v>
      </c>
      <c r="S100" s="2" t="s">
        <v>16</v>
      </c>
    </row>
    <row r="101" spans="1:19" ht="15.75" x14ac:dyDescent="0.25">
      <c r="A101" s="290"/>
      <c r="B101" s="321"/>
      <c r="C101" s="304"/>
      <c r="D101" s="304"/>
      <c r="E101" s="305"/>
      <c r="F101" s="305"/>
      <c r="G101" s="270" t="s">
        <v>44</v>
      </c>
      <c r="H101" s="270" t="s">
        <v>44</v>
      </c>
      <c r="I101" s="269" t="s">
        <v>44</v>
      </c>
      <c r="J101" s="269" t="s">
        <v>44</v>
      </c>
      <c r="K101" s="266" t="s">
        <v>69</v>
      </c>
      <c r="L101" s="52" t="s">
        <v>340</v>
      </c>
      <c r="M101" s="268" t="s">
        <v>341</v>
      </c>
      <c r="N101" s="261">
        <v>1</v>
      </c>
      <c r="O101" s="261">
        <v>1</v>
      </c>
      <c r="P101" s="261">
        <v>1</v>
      </c>
      <c r="Q101" s="263">
        <v>3.2</v>
      </c>
      <c r="R101" s="263" t="s">
        <v>506</v>
      </c>
      <c r="S101" s="23"/>
    </row>
    <row r="102" spans="1:19" ht="15.75" x14ac:dyDescent="0.25">
      <c r="A102" s="290"/>
      <c r="B102" s="321"/>
      <c r="C102" s="304"/>
      <c r="D102" s="304"/>
      <c r="E102" s="305"/>
      <c r="F102" s="305"/>
      <c r="G102" s="270" t="s">
        <v>44</v>
      </c>
      <c r="H102" s="270" t="s">
        <v>44</v>
      </c>
      <c r="I102" s="269" t="s">
        <v>44</v>
      </c>
      <c r="J102" s="269" t="s">
        <v>44</v>
      </c>
      <c r="K102" s="266" t="s">
        <v>70</v>
      </c>
      <c r="L102" s="52" t="s">
        <v>342</v>
      </c>
      <c r="M102" s="268" t="s">
        <v>298</v>
      </c>
      <c r="N102" s="261">
        <v>4</v>
      </c>
      <c r="O102" s="261">
        <v>4</v>
      </c>
      <c r="P102" s="261">
        <v>4</v>
      </c>
      <c r="Q102" s="263">
        <v>4</v>
      </c>
      <c r="R102" s="263" t="s">
        <v>528</v>
      </c>
      <c r="S102" s="23"/>
    </row>
    <row r="103" spans="1:19" ht="16.5" thickBot="1" x14ac:dyDescent="0.3">
      <c r="A103" s="290"/>
      <c r="B103" s="321"/>
      <c r="C103" s="322"/>
      <c r="D103" s="322"/>
      <c r="E103" s="323"/>
      <c r="F103" s="323"/>
      <c r="G103" s="279" t="s">
        <v>44</v>
      </c>
      <c r="H103" s="279" t="s">
        <v>44</v>
      </c>
      <c r="I103" s="280" t="s">
        <v>44</v>
      </c>
      <c r="J103" s="280" t="s">
        <v>44</v>
      </c>
      <c r="K103" s="281" t="s">
        <v>77</v>
      </c>
      <c r="L103" s="62" t="s">
        <v>343</v>
      </c>
      <c r="M103" s="271" t="s">
        <v>344</v>
      </c>
      <c r="N103" s="272">
        <v>4</v>
      </c>
      <c r="O103" s="272">
        <v>4</v>
      </c>
      <c r="P103" s="272">
        <v>4</v>
      </c>
      <c r="Q103" s="273">
        <v>4</v>
      </c>
      <c r="R103" s="273" t="s">
        <v>528</v>
      </c>
      <c r="S103" s="274"/>
    </row>
    <row r="104" spans="1:19" ht="15.75" x14ac:dyDescent="0.25">
      <c r="A104" s="290"/>
      <c r="B104" s="321"/>
      <c r="C104" s="311" t="s">
        <v>345</v>
      </c>
      <c r="D104" s="311" t="s">
        <v>346</v>
      </c>
      <c r="E104" s="314" t="s">
        <v>19</v>
      </c>
      <c r="F104" s="314" t="s">
        <v>19</v>
      </c>
      <c r="G104" s="324" t="s">
        <v>260</v>
      </c>
      <c r="H104" s="324" t="s">
        <v>347</v>
      </c>
      <c r="I104" s="326" t="s">
        <v>19</v>
      </c>
      <c r="J104" s="326" t="s">
        <v>19</v>
      </c>
      <c r="K104" s="282" t="s">
        <v>53</v>
      </c>
      <c r="L104" s="64" t="s">
        <v>348</v>
      </c>
      <c r="M104" s="260" t="s">
        <v>356</v>
      </c>
      <c r="N104" s="275">
        <v>2</v>
      </c>
      <c r="O104" s="275">
        <v>2</v>
      </c>
      <c r="P104" s="275">
        <v>2</v>
      </c>
      <c r="Q104" s="275">
        <v>2</v>
      </c>
      <c r="R104" s="275" t="s">
        <v>528</v>
      </c>
      <c r="S104" s="276"/>
    </row>
    <row r="105" spans="1:19" ht="15.75" customHeight="1" x14ac:dyDescent="0.25">
      <c r="A105" s="290"/>
      <c r="B105" s="321"/>
      <c r="C105" s="311"/>
      <c r="D105" s="311"/>
      <c r="E105" s="314"/>
      <c r="F105" s="314"/>
      <c r="G105" s="324"/>
      <c r="H105" s="324"/>
      <c r="I105" s="326"/>
      <c r="J105" s="326"/>
      <c r="K105" s="282" t="s">
        <v>19</v>
      </c>
      <c r="L105" s="64" t="s">
        <v>349</v>
      </c>
      <c r="M105" s="260" t="s">
        <v>690</v>
      </c>
      <c r="N105" s="277">
        <v>2</v>
      </c>
      <c r="O105" s="275">
        <v>2</v>
      </c>
      <c r="P105" s="275">
        <v>2</v>
      </c>
      <c r="Q105" s="275">
        <v>1</v>
      </c>
      <c r="R105" s="275" t="s">
        <v>506</v>
      </c>
      <c r="S105" s="276"/>
    </row>
    <row r="106" spans="1:19" ht="15.75" x14ac:dyDescent="0.25">
      <c r="A106" s="290"/>
      <c r="B106" s="321"/>
      <c r="C106" s="311"/>
      <c r="D106" s="311"/>
      <c r="E106" s="314"/>
      <c r="F106" s="314"/>
      <c r="G106" s="324"/>
      <c r="H106" s="324"/>
      <c r="I106" s="326"/>
      <c r="J106" s="326"/>
      <c r="K106" s="266" t="s">
        <v>21</v>
      </c>
      <c r="L106" s="52" t="s">
        <v>350</v>
      </c>
      <c r="M106" s="268" t="s">
        <v>351</v>
      </c>
      <c r="N106" s="278">
        <v>2</v>
      </c>
      <c r="O106" s="261">
        <v>2</v>
      </c>
      <c r="P106" s="261">
        <v>2</v>
      </c>
      <c r="Q106" s="261">
        <v>2</v>
      </c>
      <c r="R106" s="261" t="s">
        <v>528</v>
      </c>
      <c r="S106" s="23"/>
    </row>
    <row r="107" spans="1:19" ht="15.75" x14ac:dyDescent="0.25">
      <c r="A107" s="290"/>
      <c r="B107" s="321"/>
      <c r="C107" s="311"/>
      <c r="D107" s="311"/>
      <c r="E107" s="314"/>
      <c r="F107" s="314"/>
      <c r="G107" s="324"/>
      <c r="H107" s="324"/>
      <c r="I107" s="326"/>
      <c r="J107" s="326"/>
      <c r="K107" s="266" t="s">
        <v>23</v>
      </c>
      <c r="L107" s="52" t="s">
        <v>352</v>
      </c>
      <c r="M107" s="268" t="s">
        <v>75</v>
      </c>
      <c r="N107" s="278">
        <v>2</v>
      </c>
      <c r="O107" s="261">
        <v>2</v>
      </c>
      <c r="P107" s="261">
        <v>2</v>
      </c>
      <c r="Q107" s="261">
        <v>2</v>
      </c>
      <c r="R107" s="261" t="s">
        <v>528</v>
      </c>
      <c r="S107" s="23"/>
    </row>
    <row r="108" spans="1:19" ht="15.75" x14ac:dyDescent="0.25">
      <c r="A108" s="291"/>
      <c r="B108" s="301"/>
      <c r="C108" s="312"/>
      <c r="D108" s="312"/>
      <c r="E108" s="315"/>
      <c r="F108" s="315"/>
      <c r="G108" s="325"/>
      <c r="H108" s="325"/>
      <c r="I108" s="327"/>
      <c r="J108" s="327"/>
      <c r="K108" s="266" t="s">
        <v>26</v>
      </c>
      <c r="L108" s="52" t="s">
        <v>353</v>
      </c>
      <c r="M108" s="260" t="s">
        <v>334</v>
      </c>
      <c r="N108" s="261">
        <v>4</v>
      </c>
      <c r="O108" s="263">
        <v>4</v>
      </c>
      <c r="P108" s="263">
        <v>4</v>
      </c>
      <c r="Q108" s="263">
        <v>4</v>
      </c>
      <c r="R108" s="261" t="s">
        <v>528</v>
      </c>
      <c r="S108" s="23"/>
    </row>
    <row r="128" spans="1:19" ht="19.5" x14ac:dyDescent="0.25">
      <c r="A128" s="284" t="s">
        <v>0</v>
      </c>
      <c r="B128" s="285"/>
      <c r="C128" s="11"/>
      <c r="D128" s="12"/>
      <c r="E128" s="12" t="s">
        <v>14</v>
      </c>
      <c r="F128" s="13"/>
      <c r="G128" s="12"/>
      <c r="H128" s="12" t="s">
        <v>13</v>
      </c>
      <c r="I128" s="12"/>
      <c r="J128" s="13"/>
      <c r="K128" s="11"/>
      <c r="L128" s="12"/>
      <c r="M128" s="6" t="s">
        <v>1</v>
      </c>
      <c r="N128" s="12"/>
      <c r="O128" s="12"/>
      <c r="P128" s="12"/>
      <c r="Q128" s="21"/>
      <c r="R128" s="21"/>
      <c r="S128" s="17" t="s">
        <v>15</v>
      </c>
    </row>
    <row r="129" spans="1:19" ht="60" x14ac:dyDescent="0.25">
      <c r="A129" s="20" t="s">
        <v>2</v>
      </c>
      <c r="B129" s="3" t="s">
        <v>3</v>
      </c>
      <c r="C129" s="14" t="s">
        <v>4</v>
      </c>
      <c r="D129" s="15" t="s">
        <v>5</v>
      </c>
      <c r="E129" s="14" t="s">
        <v>6</v>
      </c>
      <c r="F129" s="14" t="s">
        <v>3</v>
      </c>
      <c r="G129" s="3" t="s">
        <v>10</v>
      </c>
      <c r="H129" s="3" t="s">
        <v>5</v>
      </c>
      <c r="I129" s="3" t="s">
        <v>12</v>
      </c>
      <c r="J129" s="3" t="s">
        <v>11</v>
      </c>
      <c r="K129" s="1" t="s">
        <v>7</v>
      </c>
      <c r="L129" s="2" t="s">
        <v>5</v>
      </c>
      <c r="M129" s="2" t="s">
        <v>9</v>
      </c>
      <c r="N129" s="3" t="s">
        <v>8</v>
      </c>
      <c r="O129" s="3" t="s">
        <v>6</v>
      </c>
      <c r="P129" s="16" t="s">
        <v>3</v>
      </c>
      <c r="Q129" s="16" t="s">
        <v>686</v>
      </c>
      <c r="R129" s="16" t="s">
        <v>18</v>
      </c>
      <c r="S129" s="2" t="s">
        <v>16</v>
      </c>
    </row>
    <row r="130" spans="1:19" ht="15.75" x14ac:dyDescent="0.25">
      <c r="A130" s="286" t="s">
        <v>259</v>
      </c>
      <c r="B130" s="328" t="s">
        <v>19</v>
      </c>
      <c r="C130" s="286" t="s">
        <v>345</v>
      </c>
      <c r="D130" s="286" t="s">
        <v>346</v>
      </c>
      <c r="E130" s="328" t="s">
        <v>19</v>
      </c>
      <c r="F130" s="328" t="s">
        <v>19</v>
      </c>
      <c r="G130" s="318" t="s">
        <v>265</v>
      </c>
      <c r="H130" s="318" t="s">
        <v>354</v>
      </c>
      <c r="I130" s="329" t="s">
        <v>19</v>
      </c>
      <c r="J130" s="329" t="s">
        <v>19</v>
      </c>
      <c r="K130" s="48" t="s">
        <v>19</v>
      </c>
      <c r="L130" s="52" t="s">
        <v>355</v>
      </c>
      <c r="M130" s="44" t="s">
        <v>356</v>
      </c>
      <c r="N130" s="45">
        <v>1</v>
      </c>
      <c r="O130" s="45">
        <v>1</v>
      </c>
      <c r="P130" s="45">
        <v>1</v>
      </c>
      <c r="Q130" s="46">
        <v>1</v>
      </c>
      <c r="R130" s="46" t="s">
        <v>691</v>
      </c>
      <c r="S130" s="53"/>
    </row>
    <row r="131" spans="1:19" ht="15.75" x14ac:dyDescent="0.25">
      <c r="A131" s="286"/>
      <c r="B131" s="328"/>
      <c r="C131" s="286"/>
      <c r="D131" s="286"/>
      <c r="E131" s="328"/>
      <c r="F131" s="328"/>
      <c r="G131" s="318"/>
      <c r="H131" s="318"/>
      <c r="I131" s="329"/>
      <c r="J131" s="329"/>
      <c r="K131" s="48" t="s">
        <v>21</v>
      </c>
      <c r="L131" s="52" t="s">
        <v>357</v>
      </c>
      <c r="M131" s="44" t="s">
        <v>358</v>
      </c>
      <c r="N131" s="45">
        <v>1</v>
      </c>
      <c r="O131" s="45">
        <v>1</v>
      </c>
      <c r="P131" s="45">
        <v>1</v>
      </c>
      <c r="Q131" s="46">
        <v>0.45</v>
      </c>
      <c r="R131" s="46" t="s">
        <v>692</v>
      </c>
      <c r="S131" s="53"/>
    </row>
    <row r="132" spans="1:19" ht="15.75" x14ac:dyDescent="0.25">
      <c r="A132" s="286"/>
      <c r="B132" s="328"/>
      <c r="C132" s="286"/>
      <c r="D132" s="286"/>
      <c r="E132" s="328"/>
      <c r="F132" s="328"/>
      <c r="G132" s="318"/>
      <c r="H132" s="318"/>
      <c r="I132" s="329"/>
      <c r="J132" s="329"/>
      <c r="K132" s="48" t="s">
        <v>23</v>
      </c>
      <c r="L132" s="52" t="s">
        <v>359</v>
      </c>
      <c r="M132" s="66" t="s">
        <v>360</v>
      </c>
      <c r="N132" s="45">
        <v>2</v>
      </c>
      <c r="O132" s="45">
        <v>2</v>
      </c>
      <c r="P132" s="45">
        <v>2</v>
      </c>
      <c r="Q132" s="46">
        <v>2</v>
      </c>
      <c r="R132" s="46" t="s">
        <v>691</v>
      </c>
      <c r="S132" s="53"/>
    </row>
    <row r="133" spans="1:19" ht="15.75" x14ac:dyDescent="0.25">
      <c r="A133" s="286"/>
      <c r="B133" s="328"/>
      <c r="C133" s="286"/>
      <c r="D133" s="286"/>
      <c r="E133" s="328"/>
      <c r="F133" s="328"/>
      <c r="G133" s="318"/>
      <c r="H133" s="318"/>
      <c r="I133" s="329"/>
      <c r="J133" s="329"/>
      <c r="K133" s="48" t="s">
        <v>26</v>
      </c>
      <c r="L133" s="52" t="s">
        <v>361</v>
      </c>
      <c r="M133" s="44" t="s">
        <v>362</v>
      </c>
      <c r="N133" s="45">
        <v>1</v>
      </c>
      <c r="O133" s="45">
        <v>1</v>
      </c>
      <c r="P133" s="45">
        <v>1</v>
      </c>
      <c r="Q133" s="46">
        <v>1.51</v>
      </c>
      <c r="R133" s="46" t="s">
        <v>692</v>
      </c>
      <c r="S133" s="53"/>
    </row>
    <row r="134" spans="1:19" ht="15.75" x14ac:dyDescent="0.25">
      <c r="A134" s="286"/>
      <c r="B134" s="328"/>
      <c r="C134" s="286"/>
      <c r="D134" s="286"/>
      <c r="E134" s="328"/>
      <c r="F134" s="328"/>
      <c r="G134" s="318"/>
      <c r="H134" s="318"/>
      <c r="I134" s="329"/>
      <c r="J134" s="329"/>
      <c r="K134" s="48" t="s">
        <v>29</v>
      </c>
      <c r="L134" s="52" t="s">
        <v>363</v>
      </c>
      <c r="M134" s="66" t="s">
        <v>100</v>
      </c>
      <c r="N134" s="45">
        <v>1</v>
      </c>
      <c r="O134" s="45">
        <v>1</v>
      </c>
      <c r="P134" s="45">
        <v>1</v>
      </c>
      <c r="Q134" s="45">
        <v>1</v>
      </c>
      <c r="R134" s="46" t="s">
        <v>691</v>
      </c>
      <c r="S134" s="53"/>
    </row>
    <row r="135" spans="1:19" ht="15.75" x14ac:dyDescent="0.25">
      <c r="A135" s="286"/>
      <c r="B135" s="328"/>
      <c r="C135" s="286"/>
      <c r="D135" s="286"/>
      <c r="E135" s="328"/>
      <c r="F135" s="328"/>
      <c r="G135" s="318"/>
      <c r="H135" s="318"/>
      <c r="I135" s="329"/>
      <c r="J135" s="329"/>
      <c r="K135" s="48" t="s">
        <v>32</v>
      </c>
      <c r="L135" s="52" t="s">
        <v>364</v>
      </c>
      <c r="M135" s="66" t="s">
        <v>365</v>
      </c>
      <c r="N135" s="45">
        <v>1</v>
      </c>
      <c r="O135" s="45">
        <v>1</v>
      </c>
      <c r="P135" s="45">
        <v>1</v>
      </c>
      <c r="Q135" s="45">
        <v>1</v>
      </c>
      <c r="R135" s="46" t="s">
        <v>691</v>
      </c>
      <c r="S135" s="53"/>
    </row>
    <row r="136" spans="1:19" ht="15.75" x14ac:dyDescent="0.25">
      <c r="A136" s="286"/>
      <c r="B136" s="328"/>
      <c r="C136" s="286"/>
      <c r="D136" s="286"/>
      <c r="E136" s="328"/>
      <c r="F136" s="328"/>
      <c r="G136" s="318"/>
      <c r="H136" s="318"/>
      <c r="I136" s="329"/>
      <c r="J136" s="329"/>
      <c r="K136" s="48" t="s">
        <v>35</v>
      </c>
      <c r="L136" s="52" t="s">
        <v>366</v>
      </c>
      <c r="M136" s="66" t="s">
        <v>367</v>
      </c>
      <c r="N136" s="45">
        <v>1</v>
      </c>
      <c r="O136" s="45">
        <v>1</v>
      </c>
      <c r="P136" s="45">
        <v>1</v>
      </c>
      <c r="Q136" s="45">
        <v>1</v>
      </c>
      <c r="R136" s="46" t="s">
        <v>691</v>
      </c>
      <c r="S136" s="53"/>
    </row>
    <row r="137" spans="1:19" ht="15.75" x14ac:dyDescent="0.25">
      <c r="A137" s="286"/>
      <c r="B137" s="328"/>
      <c r="C137" s="286"/>
      <c r="D137" s="286"/>
      <c r="E137" s="328"/>
      <c r="F137" s="328"/>
      <c r="G137" s="318"/>
      <c r="H137" s="318"/>
      <c r="I137" s="329"/>
      <c r="J137" s="329"/>
      <c r="K137" s="48" t="s">
        <v>37</v>
      </c>
      <c r="L137" s="52" t="s">
        <v>366</v>
      </c>
      <c r="M137" s="66" t="s">
        <v>368</v>
      </c>
      <c r="N137" s="45">
        <v>1</v>
      </c>
      <c r="O137" s="45">
        <v>1</v>
      </c>
      <c r="P137" s="45">
        <v>1</v>
      </c>
      <c r="Q137" s="45">
        <v>1</v>
      </c>
      <c r="R137" s="46" t="s">
        <v>691</v>
      </c>
      <c r="S137" s="53"/>
    </row>
    <row r="138" spans="1:19" ht="15.75" x14ac:dyDescent="0.25">
      <c r="A138" s="286"/>
      <c r="B138" s="328"/>
      <c r="C138" s="286"/>
      <c r="D138" s="286"/>
      <c r="E138" s="328"/>
      <c r="F138" s="328"/>
      <c r="G138" s="318" t="s">
        <v>268</v>
      </c>
      <c r="H138" s="318" t="s">
        <v>369</v>
      </c>
      <c r="I138" s="329" t="s">
        <v>19</v>
      </c>
      <c r="J138" s="329" t="s">
        <v>19</v>
      </c>
      <c r="K138" s="48" t="s">
        <v>40</v>
      </c>
      <c r="L138" s="52" t="s">
        <v>370</v>
      </c>
      <c r="M138" s="66" t="s">
        <v>371</v>
      </c>
      <c r="N138" s="67">
        <v>1</v>
      </c>
      <c r="O138" s="67">
        <v>1</v>
      </c>
      <c r="P138" s="67">
        <v>1</v>
      </c>
      <c r="Q138" s="67">
        <v>1</v>
      </c>
      <c r="R138" s="46" t="s">
        <v>691</v>
      </c>
      <c r="S138" s="53"/>
    </row>
    <row r="139" spans="1:19" ht="15.75" x14ac:dyDescent="0.25">
      <c r="A139" s="286"/>
      <c r="B139" s="328"/>
      <c r="C139" s="286"/>
      <c r="D139" s="286"/>
      <c r="E139" s="328"/>
      <c r="F139" s="328"/>
      <c r="G139" s="318"/>
      <c r="H139" s="318"/>
      <c r="I139" s="329"/>
      <c r="J139" s="329"/>
      <c r="K139" s="48" t="s">
        <v>51</v>
      </c>
      <c r="L139" s="52" t="s">
        <v>372</v>
      </c>
      <c r="M139" s="66" t="s">
        <v>373</v>
      </c>
      <c r="N139" s="67">
        <v>2</v>
      </c>
      <c r="O139" s="67">
        <v>2</v>
      </c>
      <c r="P139" s="67">
        <v>2</v>
      </c>
      <c r="Q139" s="46">
        <v>1.41</v>
      </c>
      <c r="R139" s="46" t="s">
        <v>692</v>
      </c>
      <c r="S139" s="53"/>
    </row>
    <row r="140" spans="1:19" ht="15.75" x14ac:dyDescent="0.25">
      <c r="A140" s="286"/>
      <c r="B140" s="328"/>
      <c r="C140" s="286"/>
      <c r="D140" s="286"/>
      <c r="E140" s="328"/>
      <c r="F140" s="328"/>
      <c r="G140" s="318"/>
      <c r="H140" s="318"/>
      <c r="I140" s="329"/>
      <c r="J140" s="329"/>
      <c r="K140" s="48" t="s">
        <v>52</v>
      </c>
      <c r="L140" s="52" t="s">
        <v>374</v>
      </c>
      <c r="M140" s="66" t="s">
        <v>100</v>
      </c>
      <c r="N140" s="67">
        <v>8</v>
      </c>
      <c r="O140" s="67">
        <v>8</v>
      </c>
      <c r="P140" s="67">
        <v>8</v>
      </c>
      <c r="Q140" s="67">
        <v>8</v>
      </c>
      <c r="R140" s="46" t="s">
        <v>691</v>
      </c>
      <c r="S140" s="53"/>
    </row>
    <row r="141" spans="1:19" ht="15.75" x14ac:dyDescent="0.25">
      <c r="A141" s="286"/>
      <c r="B141" s="328"/>
      <c r="C141" s="286"/>
      <c r="D141" s="286"/>
      <c r="E141" s="328"/>
      <c r="F141" s="328"/>
      <c r="G141" s="318"/>
      <c r="H141" s="318"/>
      <c r="I141" s="329"/>
      <c r="J141" s="329"/>
      <c r="K141" s="48" t="s">
        <v>53</v>
      </c>
      <c r="L141" s="52" t="s">
        <v>375</v>
      </c>
      <c r="M141" s="66" t="s">
        <v>42</v>
      </c>
      <c r="N141" s="67">
        <v>8</v>
      </c>
      <c r="O141" s="67">
        <v>8</v>
      </c>
      <c r="P141" s="67">
        <v>8</v>
      </c>
      <c r="Q141" s="67">
        <v>8</v>
      </c>
      <c r="R141" s="46" t="s">
        <v>691</v>
      </c>
      <c r="S141" s="53"/>
    </row>
    <row r="142" spans="1:19" ht="15.75" x14ac:dyDescent="0.25">
      <c r="A142" s="286"/>
      <c r="B142" s="328"/>
      <c r="C142" s="286"/>
      <c r="D142" s="286"/>
      <c r="E142" s="328"/>
      <c r="F142" s="328"/>
      <c r="G142" s="286" t="s">
        <v>345</v>
      </c>
      <c r="H142" s="286" t="s">
        <v>376</v>
      </c>
      <c r="I142" s="328" t="s">
        <v>19</v>
      </c>
      <c r="J142" s="328" t="s">
        <v>19</v>
      </c>
      <c r="K142" s="48" t="s">
        <v>57</v>
      </c>
      <c r="L142" s="52" t="s">
        <v>377</v>
      </c>
      <c r="M142" s="66" t="s">
        <v>44</v>
      </c>
      <c r="N142" s="67">
        <v>1</v>
      </c>
      <c r="O142" s="67">
        <v>1</v>
      </c>
      <c r="P142" s="67">
        <v>1</v>
      </c>
      <c r="Q142" s="67">
        <v>1</v>
      </c>
      <c r="R142" s="46" t="s">
        <v>691</v>
      </c>
      <c r="S142" s="53"/>
    </row>
    <row r="143" spans="1:19" ht="15.75" x14ac:dyDescent="0.25">
      <c r="A143" s="286"/>
      <c r="B143" s="328"/>
      <c r="C143" s="286"/>
      <c r="D143" s="286"/>
      <c r="E143" s="328"/>
      <c r="F143" s="328"/>
      <c r="G143" s="286"/>
      <c r="H143" s="286"/>
      <c r="I143" s="328"/>
      <c r="J143" s="328"/>
      <c r="K143" s="48" t="s">
        <v>58</v>
      </c>
      <c r="L143" s="52" t="s">
        <v>378</v>
      </c>
      <c r="M143" s="66" t="s">
        <v>379</v>
      </c>
      <c r="N143" s="45">
        <v>1</v>
      </c>
      <c r="O143" s="45">
        <v>1</v>
      </c>
      <c r="P143" s="45">
        <v>1</v>
      </c>
      <c r="Q143" s="45">
        <v>1</v>
      </c>
      <c r="R143" s="46" t="s">
        <v>691</v>
      </c>
      <c r="S143" s="53"/>
    </row>
    <row r="144" spans="1:19" ht="15.75" x14ac:dyDescent="0.25">
      <c r="A144" s="286"/>
      <c r="B144" s="328"/>
      <c r="C144" s="286"/>
      <c r="D144" s="286"/>
      <c r="E144" s="328"/>
      <c r="F144" s="328"/>
      <c r="G144" s="286"/>
      <c r="H144" s="286"/>
      <c r="I144" s="328"/>
      <c r="J144" s="328"/>
      <c r="K144" s="48" t="s">
        <v>65</v>
      </c>
      <c r="L144" s="64" t="s">
        <v>380</v>
      </c>
      <c r="M144" s="68" t="s">
        <v>381</v>
      </c>
      <c r="N144" s="69">
        <v>1</v>
      </c>
      <c r="O144" s="69">
        <v>1</v>
      </c>
      <c r="P144" s="69">
        <v>1</v>
      </c>
      <c r="Q144" s="70">
        <v>1</v>
      </c>
      <c r="R144" s="46" t="s">
        <v>691</v>
      </c>
      <c r="S144" s="65"/>
    </row>
    <row r="145" spans="1:19" ht="15.75" x14ac:dyDescent="0.25">
      <c r="A145" s="286"/>
      <c r="B145" s="328"/>
      <c r="C145" s="286"/>
      <c r="D145" s="286"/>
      <c r="E145" s="328"/>
      <c r="F145" s="328"/>
      <c r="G145" s="286"/>
      <c r="H145" s="286"/>
      <c r="I145" s="328"/>
      <c r="J145" s="328"/>
      <c r="K145" s="48" t="s">
        <v>66</v>
      </c>
      <c r="L145" s="52" t="s">
        <v>382</v>
      </c>
      <c r="M145" s="66" t="s">
        <v>360</v>
      </c>
      <c r="N145" s="67">
        <v>2</v>
      </c>
      <c r="O145" s="67">
        <v>2</v>
      </c>
      <c r="P145" s="67">
        <v>2</v>
      </c>
      <c r="Q145" s="45">
        <v>2</v>
      </c>
      <c r="R145" s="45" t="s">
        <v>691</v>
      </c>
      <c r="S145" s="53"/>
    </row>
  </sheetData>
  <mergeCells count="83">
    <mergeCell ref="H130:H137"/>
    <mergeCell ref="I130:I137"/>
    <mergeCell ref="J130:J137"/>
    <mergeCell ref="G138:G141"/>
    <mergeCell ref="H138:H141"/>
    <mergeCell ref="I138:I141"/>
    <mergeCell ref="J138:J141"/>
    <mergeCell ref="H104:H108"/>
    <mergeCell ref="I104:I108"/>
    <mergeCell ref="J104:J108"/>
    <mergeCell ref="A128:B128"/>
    <mergeCell ref="A130:A145"/>
    <mergeCell ref="B130:B145"/>
    <mergeCell ref="C130:C145"/>
    <mergeCell ref="D130:D145"/>
    <mergeCell ref="E130:E145"/>
    <mergeCell ref="F130:F145"/>
    <mergeCell ref="G104:G108"/>
    <mergeCell ref="G142:G145"/>
    <mergeCell ref="H142:H145"/>
    <mergeCell ref="I142:I145"/>
    <mergeCell ref="J142:J145"/>
    <mergeCell ref="G130:G137"/>
    <mergeCell ref="F101:F103"/>
    <mergeCell ref="C104:C108"/>
    <mergeCell ref="D104:D108"/>
    <mergeCell ref="E104:E108"/>
    <mergeCell ref="F104:F108"/>
    <mergeCell ref="E101:E103"/>
    <mergeCell ref="A99:B99"/>
    <mergeCell ref="A101:A108"/>
    <mergeCell ref="B101:B108"/>
    <mergeCell ref="C101:C103"/>
    <mergeCell ref="D101:D103"/>
    <mergeCell ref="I70:I79"/>
    <mergeCell ref="J70:J79"/>
    <mergeCell ref="G80:G87"/>
    <mergeCell ref="H80:H87"/>
    <mergeCell ref="I80:I87"/>
    <mergeCell ref="J80:J87"/>
    <mergeCell ref="E70:E87"/>
    <mergeCell ref="F70:F87"/>
    <mergeCell ref="F39:F58"/>
    <mergeCell ref="G39:G50"/>
    <mergeCell ref="H39:H50"/>
    <mergeCell ref="G51:G55"/>
    <mergeCell ref="G70:G79"/>
    <mergeCell ref="H70:H79"/>
    <mergeCell ref="H51:H55"/>
    <mergeCell ref="A68:B68"/>
    <mergeCell ref="A70:A87"/>
    <mergeCell ref="B70:B87"/>
    <mergeCell ref="C70:C87"/>
    <mergeCell ref="D70:D87"/>
    <mergeCell ref="I51:I55"/>
    <mergeCell ref="J51:J55"/>
    <mergeCell ref="G56:G58"/>
    <mergeCell ref="A37:B37"/>
    <mergeCell ref="A39:A58"/>
    <mergeCell ref="B39:B58"/>
    <mergeCell ref="C39:C58"/>
    <mergeCell ref="D39:D58"/>
    <mergeCell ref="E39:E58"/>
    <mergeCell ref="H56:H58"/>
    <mergeCell ref="I56:I58"/>
    <mergeCell ref="J56:J58"/>
    <mergeCell ref="I39:I50"/>
    <mergeCell ref="J39:J50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E8:E13"/>
    <mergeCell ref="A6:B6"/>
    <mergeCell ref="A8:A13"/>
    <mergeCell ref="B8:B13"/>
    <mergeCell ref="C8:C13"/>
    <mergeCell ref="D8:D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S30"/>
  <sheetViews>
    <sheetView view="pageLayout" topLeftCell="A13" zoomScaleNormal="100" workbookViewId="0">
      <selection activeCell="F8" sqref="E8:F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3</v>
      </c>
      <c r="C8" s="9"/>
      <c r="D8" s="24" t="s">
        <v>207</v>
      </c>
      <c r="E8" s="7"/>
      <c r="F8" s="8"/>
      <c r="G8" s="449"/>
      <c r="H8" s="298" t="s">
        <v>238</v>
      </c>
      <c r="I8" s="449">
        <v>1</v>
      </c>
      <c r="J8" s="449">
        <v>3</v>
      </c>
      <c r="K8" s="25" t="s">
        <v>19</v>
      </c>
      <c r="L8" s="22" t="s">
        <v>208</v>
      </c>
      <c r="M8" s="26" t="s">
        <v>227</v>
      </c>
      <c r="N8" s="24">
        <v>2</v>
      </c>
      <c r="O8" s="24">
        <v>2</v>
      </c>
      <c r="P8" s="23">
        <f>O8*3</f>
        <v>6</v>
      </c>
      <c r="Q8" s="23">
        <v>51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450"/>
      <c r="H9" s="452"/>
      <c r="I9" s="450"/>
      <c r="J9" s="450"/>
      <c r="K9" s="25" t="s">
        <v>21</v>
      </c>
      <c r="L9" s="22" t="s">
        <v>209</v>
      </c>
      <c r="M9" s="33" t="s">
        <v>228</v>
      </c>
      <c r="N9" s="24">
        <v>2</v>
      </c>
      <c r="O9" s="24">
        <v>2</v>
      </c>
      <c r="P9" s="23">
        <f t="shared" ref="P9:P26" si="0">O9*3</f>
        <v>6</v>
      </c>
      <c r="Q9" s="23">
        <v>39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450"/>
      <c r="H10" s="452"/>
      <c r="I10" s="450"/>
      <c r="J10" s="450"/>
      <c r="K10" s="25" t="s">
        <v>23</v>
      </c>
      <c r="L10" s="22" t="s">
        <v>210</v>
      </c>
      <c r="M10" s="33" t="s">
        <v>229</v>
      </c>
      <c r="N10" s="24">
        <v>1</v>
      </c>
      <c r="O10" s="24">
        <v>1</v>
      </c>
      <c r="P10" s="23">
        <f t="shared" si="0"/>
        <v>3</v>
      </c>
      <c r="Q10" s="23">
        <v>15.5</v>
      </c>
      <c r="R10" s="23" t="s">
        <v>506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450"/>
      <c r="H11" s="452"/>
      <c r="I11" s="450"/>
      <c r="J11" s="450"/>
      <c r="K11" s="25" t="s">
        <v>26</v>
      </c>
      <c r="L11" s="36" t="s">
        <v>103</v>
      </c>
      <c r="M11" s="33">
        <v>980</v>
      </c>
      <c r="N11" s="33">
        <v>20</v>
      </c>
      <c r="O11" s="33">
        <v>20</v>
      </c>
      <c r="P11" s="23">
        <f t="shared" si="0"/>
        <v>60</v>
      </c>
      <c r="Q11" s="23">
        <v>60</v>
      </c>
      <c r="R11" s="23" t="s">
        <v>528</v>
      </c>
      <c r="S11" s="23" t="s">
        <v>44</v>
      </c>
    </row>
    <row r="12" spans="1:19" x14ac:dyDescent="0.25">
      <c r="A12" s="4"/>
      <c r="B12" s="8"/>
      <c r="C12" s="7"/>
      <c r="D12" s="7"/>
      <c r="E12" s="7"/>
      <c r="F12" s="8"/>
      <c r="G12" s="450"/>
      <c r="H12" s="452"/>
      <c r="I12" s="450"/>
      <c r="J12" s="450"/>
      <c r="K12" s="25" t="s">
        <v>29</v>
      </c>
      <c r="L12" s="40" t="s">
        <v>211</v>
      </c>
      <c r="M12" s="33">
        <v>1520</v>
      </c>
      <c r="N12" s="24">
        <v>4</v>
      </c>
      <c r="O12" s="24">
        <v>4</v>
      </c>
      <c r="P12" s="23">
        <f t="shared" si="0"/>
        <v>12</v>
      </c>
      <c r="Q12" s="23">
        <v>4</v>
      </c>
      <c r="R12" s="23" t="s">
        <v>506</v>
      </c>
      <c r="S12" s="23" t="s">
        <v>44</v>
      </c>
    </row>
    <row r="13" spans="1:19" x14ac:dyDescent="0.25">
      <c r="A13" s="4"/>
      <c r="B13" s="8"/>
      <c r="C13" s="7"/>
      <c r="D13" s="7"/>
      <c r="E13" s="7"/>
      <c r="F13" s="8"/>
      <c r="G13" s="450"/>
      <c r="H13" s="452"/>
      <c r="I13" s="450"/>
      <c r="J13" s="450"/>
      <c r="K13" s="25" t="s">
        <v>32</v>
      </c>
      <c r="L13" s="22" t="s">
        <v>212</v>
      </c>
      <c r="M13" s="33" t="s">
        <v>44</v>
      </c>
      <c r="N13" s="24">
        <v>10</v>
      </c>
      <c r="O13" s="24">
        <v>10</v>
      </c>
      <c r="P13" s="23">
        <f t="shared" si="0"/>
        <v>30</v>
      </c>
      <c r="Q13" s="23">
        <v>30</v>
      </c>
      <c r="R13" s="23" t="s">
        <v>528</v>
      </c>
      <c r="S13" s="23" t="s">
        <v>44</v>
      </c>
    </row>
    <row r="14" spans="1:19" x14ac:dyDescent="0.25">
      <c r="A14" s="4"/>
      <c r="B14" s="8"/>
      <c r="C14" s="7"/>
      <c r="D14" s="7"/>
      <c r="E14" s="7"/>
      <c r="F14" s="8"/>
      <c r="G14" s="450"/>
      <c r="H14" s="452"/>
      <c r="I14" s="450"/>
      <c r="J14" s="450"/>
      <c r="K14" s="25" t="s">
        <v>35</v>
      </c>
      <c r="L14" s="22" t="s">
        <v>213</v>
      </c>
      <c r="M14" s="33" t="s">
        <v>44</v>
      </c>
      <c r="N14" s="24">
        <v>20</v>
      </c>
      <c r="O14" s="24">
        <v>20</v>
      </c>
      <c r="P14" s="23">
        <f t="shared" si="0"/>
        <v>60</v>
      </c>
      <c r="Q14" s="23">
        <v>60</v>
      </c>
      <c r="R14" s="23" t="s">
        <v>528</v>
      </c>
      <c r="S14" s="23" t="s">
        <v>44</v>
      </c>
    </row>
    <row r="15" spans="1:19" x14ac:dyDescent="0.25">
      <c r="A15" s="4"/>
      <c r="B15" s="8"/>
      <c r="C15" s="7"/>
      <c r="D15" s="7"/>
      <c r="E15" s="7"/>
      <c r="F15" s="8"/>
      <c r="G15" s="450"/>
      <c r="H15" s="452"/>
      <c r="I15" s="450"/>
      <c r="J15" s="450"/>
      <c r="K15" s="25" t="s">
        <v>37</v>
      </c>
      <c r="L15" s="22" t="s">
        <v>214</v>
      </c>
      <c r="M15" s="24" t="s">
        <v>44</v>
      </c>
      <c r="N15" s="24">
        <v>20</v>
      </c>
      <c r="O15" s="24">
        <v>20</v>
      </c>
      <c r="P15" s="23">
        <f t="shared" si="0"/>
        <v>60</v>
      </c>
      <c r="Q15" s="23">
        <v>60</v>
      </c>
      <c r="R15" s="23" t="s">
        <v>528</v>
      </c>
      <c r="S15" s="23" t="s">
        <v>44</v>
      </c>
    </row>
    <row r="16" spans="1:19" x14ac:dyDescent="0.25">
      <c r="A16" s="4"/>
      <c r="B16" s="8"/>
      <c r="C16" s="7"/>
      <c r="D16" s="7"/>
      <c r="E16" s="7"/>
      <c r="F16" s="8"/>
      <c r="G16" s="450"/>
      <c r="H16" s="452"/>
      <c r="I16" s="450"/>
      <c r="J16" s="450"/>
      <c r="K16" s="25" t="s">
        <v>40</v>
      </c>
      <c r="L16" s="22" t="s">
        <v>215</v>
      </c>
      <c r="M16" s="24" t="s">
        <v>44</v>
      </c>
      <c r="N16" s="24">
        <v>8</v>
      </c>
      <c r="O16" s="24">
        <v>8</v>
      </c>
      <c r="P16" s="23">
        <f t="shared" si="0"/>
        <v>24</v>
      </c>
      <c r="Q16" s="23">
        <v>24</v>
      </c>
      <c r="R16" s="23" t="s">
        <v>528</v>
      </c>
      <c r="S16" s="23" t="s">
        <v>44</v>
      </c>
    </row>
    <row r="17" spans="1:19" x14ac:dyDescent="0.25">
      <c r="A17" s="4"/>
      <c r="B17" s="8"/>
      <c r="C17" s="7"/>
      <c r="D17" s="7"/>
      <c r="E17" s="7"/>
      <c r="F17" s="8"/>
      <c r="G17" s="450"/>
      <c r="H17" s="452"/>
      <c r="I17" s="450"/>
      <c r="J17" s="450"/>
      <c r="K17" s="25" t="s">
        <v>51</v>
      </c>
      <c r="L17" s="22" t="s">
        <v>216</v>
      </c>
      <c r="M17" s="24" t="s">
        <v>44</v>
      </c>
      <c r="N17" s="24">
        <v>30</v>
      </c>
      <c r="O17" s="24">
        <v>30</v>
      </c>
      <c r="P17" s="23">
        <f t="shared" si="0"/>
        <v>90</v>
      </c>
      <c r="Q17" s="23">
        <v>90</v>
      </c>
      <c r="R17" s="23" t="s">
        <v>528</v>
      </c>
      <c r="S17" s="23" t="s">
        <v>44</v>
      </c>
    </row>
    <row r="18" spans="1:19" x14ac:dyDescent="0.25">
      <c r="A18" s="4"/>
      <c r="B18" s="8"/>
      <c r="C18" s="7"/>
      <c r="D18" s="7"/>
      <c r="E18" s="7"/>
      <c r="F18" s="8"/>
      <c r="G18" s="450"/>
      <c r="H18" s="452"/>
      <c r="I18" s="450"/>
      <c r="J18" s="450"/>
      <c r="K18" s="25" t="s">
        <v>52</v>
      </c>
      <c r="L18" s="22" t="s">
        <v>217</v>
      </c>
      <c r="M18" s="24" t="s">
        <v>230</v>
      </c>
      <c r="N18" s="24">
        <v>1</v>
      </c>
      <c r="O18" s="24">
        <v>1</v>
      </c>
      <c r="P18" s="23">
        <f t="shared" si="0"/>
        <v>3</v>
      </c>
      <c r="Q18" s="23">
        <v>5</v>
      </c>
      <c r="R18" s="23" t="s">
        <v>506</v>
      </c>
      <c r="S18" s="23" t="s">
        <v>44</v>
      </c>
    </row>
    <row r="19" spans="1:19" x14ac:dyDescent="0.25">
      <c r="A19" s="4"/>
      <c r="B19" s="8"/>
      <c r="C19" s="7"/>
      <c r="D19" s="7"/>
      <c r="E19" s="7"/>
      <c r="F19" s="8"/>
      <c r="G19" s="450"/>
      <c r="H19" s="452"/>
      <c r="I19" s="450"/>
      <c r="J19" s="450"/>
      <c r="K19" s="25" t="s">
        <v>53</v>
      </c>
      <c r="L19" s="22" t="s">
        <v>218</v>
      </c>
      <c r="M19" s="24" t="s">
        <v>230</v>
      </c>
      <c r="N19" s="24">
        <v>1</v>
      </c>
      <c r="O19" s="24">
        <v>1</v>
      </c>
      <c r="P19" s="23">
        <f t="shared" si="0"/>
        <v>3</v>
      </c>
      <c r="Q19" s="23">
        <v>5</v>
      </c>
      <c r="R19" s="23" t="s">
        <v>506</v>
      </c>
      <c r="S19" s="23" t="s">
        <v>44</v>
      </c>
    </row>
    <row r="20" spans="1:19" x14ac:dyDescent="0.25">
      <c r="A20" s="4"/>
      <c r="B20" s="8"/>
      <c r="C20" s="7"/>
      <c r="D20" s="7"/>
      <c r="E20" s="7"/>
      <c r="F20" s="8"/>
      <c r="G20" s="450"/>
      <c r="H20" s="452"/>
      <c r="I20" s="450"/>
      <c r="J20" s="450"/>
      <c r="K20" s="25" t="s">
        <v>57</v>
      </c>
      <c r="L20" s="22" t="s">
        <v>219</v>
      </c>
      <c r="M20" s="24" t="s">
        <v>231</v>
      </c>
      <c r="N20" s="24">
        <v>10</v>
      </c>
      <c r="O20" s="24">
        <v>10</v>
      </c>
      <c r="P20" s="23">
        <f t="shared" si="0"/>
        <v>30</v>
      </c>
      <c r="Q20" s="23">
        <v>30</v>
      </c>
      <c r="R20" s="23" t="s">
        <v>528</v>
      </c>
      <c r="S20" s="23" t="s">
        <v>44</v>
      </c>
    </row>
    <row r="21" spans="1:19" x14ac:dyDescent="0.25">
      <c r="A21" s="4"/>
      <c r="B21" s="8"/>
      <c r="C21" s="7"/>
      <c r="D21" s="7"/>
      <c r="E21" s="7"/>
      <c r="F21" s="8"/>
      <c r="G21" s="450"/>
      <c r="H21" s="452"/>
      <c r="I21" s="450"/>
      <c r="J21" s="450"/>
      <c r="K21" s="25" t="s">
        <v>58</v>
      </c>
      <c r="L21" s="22" t="s">
        <v>220</v>
      </c>
      <c r="M21" s="24" t="s">
        <v>232</v>
      </c>
      <c r="N21" s="24">
        <v>10</v>
      </c>
      <c r="O21" s="24">
        <v>10</v>
      </c>
      <c r="P21" s="23">
        <f t="shared" si="0"/>
        <v>30</v>
      </c>
      <c r="Q21" s="23">
        <v>30</v>
      </c>
      <c r="R21" s="23" t="s">
        <v>528</v>
      </c>
      <c r="S21" s="23" t="s">
        <v>44</v>
      </c>
    </row>
    <row r="22" spans="1:19" x14ac:dyDescent="0.25">
      <c r="A22" s="4"/>
      <c r="B22" s="8"/>
      <c r="C22" s="7"/>
      <c r="D22" s="7"/>
      <c r="E22" s="7"/>
      <c r="F22" s="8"/>
      <c r="G22" s="450"/>
      <c r="H22" s="452"/>
      <c r="I22" s="450"/>
      <c r="J22" s="450"/>
      <c r="K22" s="25" t="s">
        <v>65</v>
      </c>
      <c r="L22" s="22" t="s">
        <v>221</v>
      </c>
      <c r="M22" s="24" t="s">
        <v>233</v>
      </c>
      <c r="N22" s="24">
        <v>4</v>
      </c>
      <c r="O22" s="24">
        <v>4</v>
      </c>
      <c r="P22" s="23">
        <f t="shared" si="0"/>
        <v>12</v>
      </c>
      <c r="Q22" s="23">
        <v>2.5</v>
      </c>
      <c r="R22" s="23" t="s">
        <v>506</v>
      </c>
      <c r="S22" s="23" t="s">
        <v>44</v>
      </c>
    </row>
    <row r="23" spans="1:19" x14ac:dyDescent="0.25">
      <c r="A23" s="4"/>
      <c r="B23" s="8"/>
      <c r="C23" s="7"/>
      <c r="D23" s="7"/>
      <c r="E23" s="7"/>
      <c r="F23" s="8"/>
      <c r="G23" s="450"/>
      <c r="H23" s="452"/>
      <c r="I23" s="450"/>
      <c r="J23" s="450"/>
      <c r="K23" s="25" t="s">
        <v>66</v>
      </c>
      <c r="L23" s="22" t="s">
        <v>222</v>
      </c>
      <c r="M23" s="24" t="s">
        <v>234</v>
      </c>
      <c r="N23" s="24">
        <v>10</v>
      </c>
      <c r="O23" s="24">
        <v>10</v>
      </c>
      <c r="P23" s="23">
        <f t="shared" si="0"/>
        <v>30</v>
      </c>
      <c r="Q23" s="23">
        <v>30</v>
      </c>
      <c r="R23" s="23" t="s">
        <v>528</v>
      </c>
      <c r="S23" s="23" t="s">
        <v>44</v>
      </c>
    </row>
    <row r="24" spans="1:19" x14ac:dyDescent="0.25">
      <c r="A24" s="4"/>
      <c r="B24" s="8"/>
      <c r="C24" s="7"/>
      <c r="D24" s="7"/>
      <c r="E24" s="7"/>
      <c r="F24" s="8"/>
      <c r="G24" s="450"/>
      <c r="H24" s="452"/>
      <c r="I24" s="450"/>
      <c r="J24" s="450"/>
      <c r="K24" s="25" t="s">
        <v>67</v>
      </c>
      <c r="L24" s="22" t="s">
        <v>223</v>
      </c>
      <c r="M24" s="24" t="s">
        <v>75</v>
      </c>
      <c r="N24" s="24">
        <v>10</v>
      </c>
      <c r="O24" s="24">
        <v>10</v>
      </c>
      <c r="P24" s="23">
        <f t="shared" si="0"/>
        <v>30</v>
      </c>
      <c r="Q24" s="23">
        <v>30</v>
      </c>
      <c r="R24" s="23" t="s">
        <v>528</v>
      </c>
      <c r="S24" s="23" t="s">
        <v>44</v>
      </c>
    </row>
    <row r="25" spans="1:19" x14ac:dyDescent="0.25">
      <c r="A25" s="4"/>
      <c r="B25" s="8"/>
      <c r="C25" s="7"/>
      <c r="D25" s="7"/>
      <c r="E25" s="7"/>
      <c r="F25" s="8"/>
      <c r="G25" s="450"/>
      <c r="H25" s="452"/>
      <c r="I25" s="450"/>
      <c r="J25" s="450"/>
      <c r="K25" s="25" t="s">
        <v>68</v>
      </c>
      <c r="L25" s="22" t="s">
        <v>38</v>
      </c>
      <c r="M25" s="24" t="s">
        <v>234</v>
      </c>
      <c r="N25" s="24">
        <v>40</v>
      </c>
      <c r="O25" s="24">
        <v>40</v>
      </c>
      <c r="P25" s="23">
        <f t="shared" si="0"/>
        <v>120</v>
      </c>
      <c r="Q25" s="23">
        <v>120</v>
      </c>
      <c r="R25" s="23" t="s">
        <v>528</v>
      </c>
      <c r="S25" s="23" t="s">
        <v>44</v>
      </c>
    </row>
    <row r="26" spans="1:19" x14ac:dyDescent="0.25">
      <c r="A26" s="4"/>
      <c r="B26" s="8"/>
      <c r="C26" s="7"/>
      <c r="D26" s="7"/>
      <c r="E26" s="7"/>
      <c r="F26" s="8"/>
      <c r="G26" s="451"/>
      <c r="H26" s="299"/>
      <c r="I26" s="451"/>
      <c r="J26" s="451"/>
      <c r="K26" s="25" t="s">
        <v>69</v>
      </c>
      <c r="L26" s="22" t="s">
        <v>90</v>
      </c>
      <c r="M26" s="24" t="s">
        <v>75</v>
      </c>
      <c r="N26" s="24">
        <v>40</v>
      </c>
      <c r="O26" s="24">
        <v>40</v>
      </c>
      <c r="P26" s="23">
        <f t="shared" si="0"/>
        <v>120</v>
      </c>
      <c r="Q26" s="23">
        <v>120</v>
      </c>
      <c r="R26" s="23" t="s">
        <v>528</v>
      </c>
      <c r="S26" s="23" t="s">
        <v>44</v>
      </c>
    </row>
    <row r="27" spans="1:19" x14ac:dyDescent="0.25">
      <c r="A27" s="4"/>
      <c r="B27" s="8"/>
      <c r="C27" s="7"/>
      <c r="D27" s="7"/>
      <c r="E27" s="7"/>
      <c r="F27" s="8"/>
      <c r="G27" s="449"/>
      <c r="H27" s="298" t="s">
        <v>224</v>
      </c>
      <c r="I27" s="449">
        <v>1</v>
      </c>
      <c r="J27" s="449">
        <v>2</v>
      </c>
      <c r="K27" s="25" t="s">
        <v>70</v>
      </c>
      <c r="L27" s="22" t="s">
        <v>224</v>
      </c>
      <c r="M27" s="24" t="s">
        <v>235</v>
      </c>
      <c r="N27" s="24">
        <v>2</v>
      </c>
      <c r="O27" s="24">
        <v>2</v>
      </c>
      <c r="P27" s="23">
        <f>O27*2</f>
        <v>4</v>
      </c>
      <c r="Q27" s="23">
        <v>4</v>
      </c>
      <c r="R27" s="23" t="s">
        <v>528</v>
      </c>
      <c r="S27" s="23" t="s">
        <v>44</v>
      </c>
    </row>
    <row r="28" spans="1:19" x14ac:dyDescent="0.25">
      <c r="A28" s="4"/>
      <c r="B28" s="8"/>
      <c r="C28" s="7"/>
      <c r="D28" s="7"/>
      <c r="E28" s="7"/>
      <c r="F28" s="8"/>
      <c r="G28" s="450"/>
      <c r="H28" s="452"/>
      <c r="I28" s="450"/>
      <c r="J28" s="450"/>
      <c r="K28" s="25" t="s">
        <v>77</v>
      </c>
      <c r="L28" s="22" t="s">
        <v>225</v>
      </c>
      <c r="M28" s="24" t="s">
        <v>236</v>
      </c>
      <c r="N28" s="24">
        <v>1</v>
      </c>
      <c r="O28" s="24">
        <v>1</v>
      </c>
      <c r="P28" s="23">
        <f t="shared" ref="P28:P29" si="1">O28*2</f>
        <v>2</v>
      </c>
      <c r="Q28" s="23">
        <v>16</v>
      </c>
      <c r="R28" s="23" t="s">
        <v>506</v>
      </c>
      <c r="S28" s="23" t="s">
        <v>44</v>
      </c>
    </row>
    <row r="29" spans="1:19" x14ac:dyDescent="0.25">
      <c r="A29" s="4"/>
      <c r="B29" s="8"/>
      <c r="C29" s="7"/>
      <c r="D29" s="7"/>
      <c r="E29" s="7"/>
      <c r="F29" s="8"/>
      <c r="G29" s="451"/>
      <c r="H29" s="299"/>
      <c r="I29" s="451"/>
      <c r="J29" s="451"/>
      <c r="K29" s="25" t="s">
        <v>78</v>
      </c>
      <c r="L29" s="22" t="s">
        <v>226</v>
      </c>
      <c r="M29" s="24" t="s">
        <v>237</v>
      </c>
      <c r="N29" s="24">
        <v>1</v>
      </c>
      <c r="O29" s="24">
        <v>1</v>
      </c>
      <c r="P29" s="23">
        <f t="shared" si="1"/>
        <v>2</v>
      </c>
      <c r="Q29" s="23">
        <v>12</v>
      </c>
      <c r="R29" s="23" t="s">
        <v>506</v>
      </c>
      <c r="S29" s="23" t="s">
        <v>44</v>
      </c>
    </row>
    <row r="30" spans="1:19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25" t="s">
        <v>79</v>
      </c>
      <c r="L30" s="125" t="s">
        <v>258</v>
      </c>
      <c r="M30" s="24" t="s">
        <v>677</v>
      </c>
      <c r="N30" s="24">
        <v>3</v>
      </c>
      <c r="O30" s="24">
        <v>3</v>
      </c>
      <c r="P30" s="23">
        <v>3</v>
      </c>
      <c r="Q30" s="23">
        <v>3</v>
      </c>
      <c r="R30" s="23" t="s">
        <v>528</v>
      </c>
      <c r="S30" s="23" t="s">
        <v>44</v>
      </c>
    </row>
  </sheetData>
  <mergeCells count="9">
    <mergeCell ref="H27:H29"/>
    <mergeCell ref="I27:I29"/>
    <mergeCell ref="J27:J29"/>
    <mergeCell ref="A6:B6"/>
    <mergeCell ref="J8:J26"/>
    <mergeCell ref="I8:I26"/>
    <mergeCell ref="H8:H26"/>
    <mergeCell ref="G8:G26"/>
    <mergeCell ref="G27:G29"/>
  </mergeCells>
  <pageMargins left="0.46195652173913043" right="0.7" top="0.56159420289855078" bottom="0.40760869565217389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S16"/>
  <sheetViews>
    <sheetView view="pageLayout" zoomScale="175" zoomScaleNormal="100" zoomScalePageLayoutView="175" workbookViewId="0">
      <selection activeCell="B7" sqref="B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2</v>
      </c>
      <c r="C8" s="9"/>
      <c r="D8" s="24" t="s">
        <v>205</v>
      </c>
      <c r="E8" s="7"/>
      <c r="F8" s="8"/>
      <c r="G8" s="453"/>
      <c r="H8" s="454" t="s">
        <v>206</v>
      </c>
      <c r="I8" s="453">
        <v>1</v>
      </c>
      <c r="J8" s="453">
        <v>1</v>
      </c>
      <c r="K8" s="25" t="s">
        <v>19</v>
      </c>
      <c r="L8" s="22" t="s">
        <v>189</v>
      </c>
      <c r="M8" s="26" t="s">
        <v>198</v>
      </c>
      <c r="N8" s="24">
        <v>4</v>
      </c>
      <c r="O8" s="24">
        <v>4</v>
      </c>
      <c r="P8" s="23">
        <f>O8*2</f>
        <v>8</v>
      </c>
      <c r="Q8" s="23">
        <v>25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453"/>
      <c r="H9" s="454"/>
      <c r="I9" s="453"/>
      <c r="J9" s="453"/>
      <c r="K9" s="25" t="s">
        <v>21</v>
      </c>
      <c r="L9" s="22" t="s">
        <v>190</v>
      </c>
      <c r="M9" s="33" t="s">
        <v>199</v>
      </c>
      <c r="N9" s="24">
        <v>2</v>
      </c>
      <c r="O9" s="24">
        <v>2</v>
      </c>
      <c r="P9" s="23">
        <f t="shared" ref="P9:P16" si="0">O9*2</f>
        <v>4</v>
      </c>
      <c r="Q9" s="23">
        <v>57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453"/>
      <c r="H10" s="454"/>
      <c r="I10" s="453"/>
      <c r="J10" s="453"/>
      <c r="K10" s="25" t="s">
        <v>23</v>
      </c>
      <c r="L10" s="22" t="s">
        <v>191</v>
      </c>
      <c r="M10" s="33" t="s">
        <v>204</v>
      </c>
      <c r="N10" s="24">
        <v>2</v>
      </c>
      <c r="O10" s="24">
        <v>2</v>
      </c>
      <c r="P10" s="23">
        <f t="shared" si="0"/>
        <v>4</v>
      </c>
      <c r="Q10" s="23">
        <v>25</v>
      </c>
      <c r="R10" s="23" t="s">
        <v>506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453"/>
      <c r="H11" s="454"/>
      <c r="I11" s="453"/>
      <c r="J11" s="453"/>
      <c r="K11" s="25" t="s">
        <v>26</v>
      </c>
      <c r="L11" s="36" t="s">
        <v>192</v>
      </c>
      <c r="M11" s="33" t="s">
        <v>200</v>
      </c>
      <c r="N11" s="33">
        <v>52</v>
      </c>
      <c r="O11" s="33">
        <v>52</v>
      </c>
      <c r="P11" s="23">
        <f t="shared" si="0"/>
        <v>104</v>
      </c>
      <c r="Q11" s="23">
        <v>156</v>
      </c>
      <c r="R11" s="23" t="s">
        <v>506</v>
      </c>
      <c r="S11" s="23" t="s">
        <v>44</v>
      </c>
    </row>
    <row r="12" spans="1:19" x14ac:dyDescent="0.25">
      <c r="A12" s="4"/>
      <c r="B12" s="8"/>
      <c r="C12" s="7"/>
      <c r="D12" s="7"/>
      <c r="E12" s="7"/>
      <c r="F12" s="8"/>
      <c r="G12" s="453"/>
      <c r="H12" s="454"/>
      <c r="I12" s="453"/>
      <c r="J12" s="453"/>
      <c r="K12" s="25" t="s">
        <v>29</v>
      </c>
      <c r="L12" s="40" t="s">
        <v>193</v>
      </c>
      <c r="M12" s="33" t="s">
        <v>201</v>
      </c>
      <c r="N12" s="24">
        <v>2</v>
      </c>
      <c r="O12" s="24">
        <v>2</v>
      </c>
      <c r="P12" s="23">
        <f t="shared" si="0"/>
        <v>4</v>
      </c>
      <c r="Q12" s="23">
        <v>20</v>
      </c>
      <c r="R12" s="23" t="s">
        <v>506</v>
      </c>
      <c r="S12" s="23" t="s">
        <v>44</v>
      </c>
    </row>
    <row r="13" spans="1:19" x14ac:dyDescent="0.25">
      <c r="A13" s="4"/>
      <c r="B13" s="8"/>
      <c r="C13" s="7"/>
      <c r="D13" s="7"/>
      <c r="E13" s="7"/>
      <c r="F13" s="8"/>
      <c r="G13" s="453"/>
      <c r="H13" s="454"/>
      <c r="I13" s="453"/>
      <c r="J13" s="453"/>
      <c r="K13" s="25" t="s">
        <v>32</v>
      </c>
      <c r="L13" s="22" t="s">
        <v>116</v>
      </c>
      <c r="M13" s="33" t="s">
        <v>194</v>
      </c>
      <c r="N13" s="24">
        <v>4</v>
      </c>
      <c r="O13" s="24">
        <v>4</v>
      </c>
      <c r="P13" s="23">
        <f t="shared" si="0"/>
        <v>8</v>
      </c>
      <c r="Q13" s="23">
        <v>1</v>
      </c>
      <c r="R13" s="23" t="s">
        <v>506</v>
      </c>
      <c r="S13" s="23" t="s">
        <v>44</v>
      </c>
    </row>
    <row r="14" spans="1:19" x14ac:dyDescent="0.25">
      <c r="A14" s="4"/>
      <c r="B14" s="8"/>
      <c r="C14" s="7"/>
      <c r="D14" s="7"/>
      <c r="E14" s="7"/>
      <c r="F14" s="8"/>
      <c r="G14" s="453"/>
      <c r="H14" s="454"/>
      <c r="I14" s="453"/>
      <c r="J14" s="453"/>
      <c r="K14" s="25" t="s">
        <v>35</v>
      </c>
      <c r="L14" s="22" t="s">
        <v>195</v>
      </c>
      <c r="M14" s="33" t="s">
        <v>202</v>
      </c>
      <c r="N14" s="24">
        <v>2</v>
      </c>
      <c r="O14" s="24">
        <v>2</v>
      </c>
      <c r="P14" s="23">
        <f t="shared" si="0"/>
        <v>4</v>
      </c>
      <c r="Q14" s="23">
        <v>4</v>
      </c>
      <c r="R14" s="23" t="s">
        <v>528</v>
      </c>
      <c r="S14" s="23" t="s">
        <v>44</v>
      </c>
    </row>
    <row r="15" spans="1:19" x14ac:dyDescent="0.25">
      <c r="A15" s="4"/>
      <c r="B15" s="8"/>
      <c r="C15" s="7"/>
      <c r="D15" s="7"/>
      <c r="E15" s="7"/>
      <c r="F15" s="8"/>
      <c r="G15" s="453"/>
      <c r="H15" s="454"/>
      <c r="I15" s="453"/>
      <c r="J15" s="453"/>
      <c r="K15" s="25" t="s">
        <v>37</v>
      </c>
      <c r="L15" s="22" t="s">
        <v>115</v>
      </c>
      <c r="M15" s="24" t="s">
        <v>203</v>
      </c>
      <c r="N15" s="24">
        <v>2</v>
      </c>
      <c r="O15" s="24">
        <v>2</v>
      </c>
      <c r="P15" s="23">
        <f t="shared" si="0"/>
        <v>4</v>
      </c>
      <c r="Q15" s="23">
        <v>1</v>
      </c>
      <c r="R15" s="23" t="s">
        <v>506</v>
      </c>
      <c r="S15" s="23" t="s">
        <v>44</v>
      </c>
    </row>
    <row r="16" spans="1:19" x14ac:dyDescent="0.25">
      <c r="A16" s="4"/>
      <c r="B16" s="8"/>
      <c r="C16" s="7"/>
      <c r="D16" s="7"/>
      <c r="E16" s="7"/>
      <c r="F16" s="8"/>
      <c r="G16" s="39"/>
      <c r="H16" s="27"/>
      <c r="I16" s="39"/>
      <c r="J16" s="39"/>
      <c r="K16" s="25" t="s">
        <v>40</v>
      </c>
      <c r="L16" s="22" t="s">
        <v>196</v>
      </c>
      <c r="M16" s="24" t="s">
        <v>197</v>
      </c>
      <c r="N16" s="24">
        <v>8</v>
      </c>
      <c r="O16" s="24">
        <v>8</v>
      </c>
      <c r="P16" s="23">
        <f t="shared" si="0"/>
        <v>16</v>
      </c>
      <c r="Q16" s="23">
        <v>4</v>
      </c>
      <c r="R16" s="23" t="s">
        <v>506</v>
      </c>
      <c r="S16" s="23" t="s">
        <v>44</v>
      </c>
    </row>
  </sheetData>
  <mergeCells count="5">
    <mergeCell ref="J8:J15"/>
    <mergeCell ref="I8:I15"/>
    <mergeCell ref="H8:H15"/>
    <mergeCell ref="G8:G15"/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S19"/>
  <sheetViews>
    <sheetView view="pageLayout" topLeftCell="B1" zoomScale="145" zoomScaleNormal="100" zoomScalePageLayoutView="145" workbookViewId="0">
      <selection activeCell="G8" sqref="G8:G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1</v>
      </c>
      <c r="C8" s="9"/>
      <c r="D8" s="24" t="s">
        <v>183</v>
      </c>
      <c r="E8" s="7"/>
      <c r="F8" s="8"/>
      <c r="G8" s="449"/>
      <c r="H8" s="298" t="s">
        <v>187</v>
      </c>
      <c r="I8" s="449">
        <v>1</v>
      </c>
      <c r="J8" s="449">
        <v>1</v>
      </c>
      <c r="K8" s="25" t="s">
        <v>19</v>
      </c>
      <c r="L8" s="36" t="s">
        <v>167</v>
      </c>
      <c r="M8" s="38" t="s">
        <v>168</v>
      </c>
      <c r="N8" s="33">
        <v>2</v>
      </c>
      <c r="O8" s="33">
        <v>2</v>
      </c>
      <c r="P8" s="33">
        <v>2</v>
      </c>
      <c r="Q8" s="23">
        <v>3.2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451"/>
      <c r="H9" s="299"/>
      <c r="I9" s="451"/>
      <c r="J9" s="451"/>
      <c r="K9" s="25" t="s">
        <v>21</v>
      </c>
      <c r="L9" s="36" t="s">
        <v>169</v>
      </c>
      <c r="M9" s="33" t="s">
        <v>170</v>
      </c>
      <c r="N9" s="33">
        <v>8</v>
      </c>
      <c r="O9" s="33">
        <v>8</v>
      </c>
      <c r="P9" s="33">
        <v>8</v>
      </c>
      <c r="Q9" s="23">
        <v>1.5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449"/>
      <c r="H10" s="298" t="s">
        <v>188</v>
      </c>
      <c r="I10" s="449">
        <v>2</v>
      </c>
      <c r="J10" s="449">
        <v>2</v>
      </c>
      <c r="K10" s="25" t="s">
        <v>23</v>
      </c>
      <c r="L10" s="36" t="s">
        <v>171</v>
      </c>
      <c r="M10" s="33" t="s">
        <v>184</v>
      </c>
      <c r="N10" s="33">
        <v>4</v>
      </c>
      <c r="O10" s="33">
        <v>4</v>
      </c>
      <c r="P10" s="33">
        <v>4</v>
      </c>
      <c r="Q10" s="23">
        <v>1.6</v>
      </c>
      <c r="R10" s="23" t="s">
        <v>506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450"/>
      <c r="H11" s="452"/>
      <c r="I11" s="450"/>
      <c r="J11" s="450"/>
      <c r="K11" s="25" t="s">
        <v>26</v>
      </c>
      <c r="L11" s="36" t="s">
        <v>172</v>
      </c>
      <c r="M11" s="33" t="s">
        <v>173</v>
      </c>
      <c r="N11" s="33">
        <v>4</v>
      </c>
      <c r="O11" s="33">
        <v>4</v>
      </c>
      <c r="P11" s="33">
        <v>4</v>
      </c>
      <c r="Q11" s="23">
        <v>1.1000000000000001</v>
      </c>
      <c r="R11" s="23" t="s">
        <v>506</v>
      </c>
      <c r="S11" s="23" t="s">
        <v>44</v>
      </c>
    </row>
    <row r="12" spans="1:19" x14ac:dyDescent="0.25">
      <c r="A12" s="4"/>
      <c r="B12" s="8"/>
      <c r="C12" s="7"/>
      <c r="D12" s="7"/>
      <c r="E12" s="7"/>
      <c r="F12" s="8"/>
      <c r="G12" s="450"/>
      <c r="H12" s="452"/>
      <c r="I12" s="450"/>
      <c r="J12" s="450"/>
      <c r="K12" s="25" t="s">
        <v>29</v>
      </c>
      <c r="L12" s="37" t="s">
        <v>174</v>
      </c>
      <c r="M12" s="33" t="s">
        <v>185</v>
      </c>
      <c r="N12" s="33">
        <v>4</v>
      </c>
      <c r="O12" s="33">
        <v>4</v>
      </c>
      <c r="P12" s="33">
        <v>4</v>
      </c>
      <c r="Q12" s="23">
        <v>2.2999999999999998</v>
      </c>
      <c r="R12" s="23" t="s">
        <v>506</v>
      </c>
      <c r="S12" s="23" t="s">
        <v>44</v>
      </c>
    </row>
    <row r="13" spans="1:19" x14ac:dyDescent="0.25">
      <c r="A13" s="4"/>
      <c r="B13" s="8"/>
      <c r="C13" s="7"/>
      <c r="D13" s="7"/>
      <c r="E13" s="7"/>
      <c r="F13" s="8"/>
      <c r="G13" s="450"/>
      <c r="H13" s="452"/>
      <c r="I13" s="450"/>
      <c r="J13" s="450"/>
      <c r="K13" s="25" t="s">
        <v>32</v>
      </c>
      <c r="L13" s="36" t="s">
        <v>175</v>
      </c>
      <c r="M13" s="33" t="s">
        <v>176</v>
      </c>
      <c r="N13" s="33">
        <v>4</v>
      </c>
      <c r="O13" s="33">
        <v>4</v>
      </c>
      <c r="P13" s="33">
        <v>4</v>
      </c>
      <c r="Q13" s="23">
        <v>1.6</v>
      </c>
      <c r="R13" s="23" t="s">
        <v>506</v>
      </c>
      <c r="S13" s="23" t="s">
        <v>44</v>
      </c>
    </row>
    <row r="14" spans="1:19" x14ac:dyDescent="0.25">
      <c r="A14" s="4"/>
      <c r="B14" s="8"/>
      <c r="C14" s="7"/>
      <c r="D14" s="7"/>
      <c r="E14" s="7"/>
      <c r="F14" s="8"/>
      <c r="G14" s="450"/>
      <c r="H14" s="452"/>
      <c r="I14" s="450"/>
      <c r="J14" s="450"/>
      <c r="K14" s="25" t="s">
        <v>35</v>
      </c>
      <c r="L14" s="36" t="s">
        <v>177</v>
      </c>
      <c r="M14" s="33" t="s">
        <v>186</v>
      </c>
      <c r="N14" s="33">
        <v>2</v>
      </c>
      <c r="O14" s="33">
        <v>2</v>
      </c>
      <c r="P14" s="33">
        <v>2</v>
      </c>
      <c r="Q14" s="23">
        <v>2</v>
      </c>
      <c r="R14" s="23" t="s">
        <v>506</v>
      </c>
      <c r="S14" s="23" t="s">
        <v>44</v>
      </c>
    </row>
    <row r="15" spans="1:19" x14ac:dyDescent="0.25">
      <c r="A15" s="4"/>
      <c r="B15" s="8"/>
      <c r="C15" s="7"/>
      <c r="D15" s="7"/>
      <c r="E15" s="7"/>
      <c r="F15" s="8"/>
      <c r="G15" s="450"/>
      <c r="H15" s="452"/>
      <c r="I15" s="450"/>
      <c r="J15" s="450"/>
      <c r="K15" s="25" t="s">
        <v>37</v>
      </c>
      <c r="L15" s="36" t="s">
        <v>81</v>
      </c>
      <c r="M15" s="33" t="s">
        <v>178</v>
      </c>
      <c r="N15" s="33">
        <v>2</v>
      </c>
      <c r="O15" s="33">
        <v>2</v>
      </c>
      <c r="P15" s="33">
        <v>2</v>
      </c>
      <c r="Q15" s="23">
        <v>0.19</v>
      </c>
      <c r="R15" s="23" t="s">
        <v>506</v>
      </c>
      <c r="S15" s="23" t="s">
        <v>44</v>
      </c>
    </row>
    <row r="16" spans="1:19" x14ac:dyDescent="0.25">
      <c r="A16" s="4"/>
      <c r="B16" s="8"/>
      <c r="C16" s="7"/>
      <c r="D16" s="7"/>
      <c r="E16" s="7"/>
      <c r="F16" s="8"/>
      <c r="G16" s="450"/>
      <c r="H16" s="452"/>
      <c r="I16" s="450"/>
      <c r="J16" s="450"/>
      <c r="K16" s="25" t="s">
        <v>40</v>
      </c>
      <c r="L16" s="36" t="s">
        <v>179</v>
      </c>
      <c r="M16" s="33" t="s">
        <v>180</v>
      </c>
      <c r="N16" s="33">
        <v>2</v>
      </c>
      <c r="O16" s="33">
        <v>2</v>
      </c>
      <c r="P16" s="33">
        <v>2</v>
      </c>
      <c r="Q16" s="23">
        <v>0.5</v>
      </c>
      <c r="R16" s="23" t="s">
        <v>506</v>
      </c>
      <c r="S16" s="23" t="s">
        <v>44</v>
      </c>
    </row>
    <row r="17" spans="1:19" x14ac:dyDescent="0.25">
      <c r="A17" s="4"/>
      <c r="B17" s="8"/>
      <c r="C17" s="7"/>
      <c r="D17" s="7"/>
      <c r="E17" s="7"/>
      <c r="F17" s="8"/>
      <c r="G17" s="451"/>
      <c r="H17" s="299"/>
      <c r="I17" s="451"/>
      <c r="J17" s="451"/>
      <c r="K17" s="25" t="s">
        <v>51</v>
      </c>
      <c r="L17" s="36" t="s">
        <v>181</v>
      </c>
      <c r="M17" s="33" t="s">
        <v>182</v>
      </c>
      <c r="N17" s="33">
        <v>2</v>
      </c>
      <c r="O17" s="33">
        <v>2</v>
      </c>
      <c r="P17" s="33">
        <v>2</v>
      </c>
      <c r="Q17" s="23">
        <v>0.3</v>
      </c>
      <c r="R17" s="23" t="s">
        <v>506</v>
      </c>
      <c r="S17" s="23" t="s">
        <v>44</v>
      </c>
    </row>
    <row r="18" spans="1:19" x14ac:dyDescent="0.25">
      <c r="A18" s="4"/>
      <c r="B18" s="8"/>
      <c r="C18" s="7"/>
      <c r="D18" s="7"/>
      <c r="E18" s="7"/>
      <c r="F18" s="8"/>
      <c r="G18" s="19"/>
      <c r="H18" s="27"/>
      <c r="I18" s="39"/>
      <c r="J18" s="39"/>
      <c r="K18" s="25" t="s">
        <v>52</v>
      </c>
      <c r="L18" s="36" t="s">
        <v>24</v>
      </c>
      <c r="M18" s="33" t="s">
        <v>25</v>
      </c>
      <c r="N18" s="33">
        <v>6</v>
      </c>
      <c r="O18" s="33">
        <v>6</v>
      </c>
      <c r="P18" s="33">
        <v>6</v>
      </c>
      <c r="Q18" s="23">
        <v>6</v>
      </c>
      <c r="R18" s="23" t="s">
        <v>528</v>
      </c>
      <c r="S18" s="23" t="s">
        <v>44</v>
      </c>
    </row>
    <row r="19" spans="1:19" x14ac:dyDescent="0.25">
      <c r="A19" s="4"/>
      <c r="B19" s="8"/>
      <c r="C19" s="7"/>
      <c r="D19" s="7"/>
      <c r="E19" s="7"/>
      <c r="F19" s="8"/>
      <c r="G19" s="19"/>
      <c r="H19" s="27"/>
      <c r="I19" s="39"/>
      <c r="J19" s="39"/>
      <c r="K19" s="25" t="s">
        <v>53</v>
      </c>
      <c r="L19" s="36" t="s">
        <v>84</v>
      </c>
      <c r="M19" s="33" t="s">
        <v>28</v>
      </c>
      <c r="N19" s="33">
        <v>6</v>
      </c>
      <c r="O19" s="33">
        <v>6</v>
      </c>
      <c r="P19" s="33">
        <v>6</v>
      </c>
      <c r="Q19" s="23">
        <v>6</v>
      </c>
      <c r="R19" s="23" t="s">
        <v>528</v>
      </c>
      <c r="S19" s="23" t="s">
        <v>44</v>
      </c>
    </row>
  </sheetData>
  <mergeCells count="9">
    <mergeCell ref="J10:J17"/>
    <mergeCell ref="I10:I17"/>
    <mergeCell ref="H10:H17"/>
    <mergeCell ref="G10:G17"/>
    <mergeCell ref="A6:B6"/>
    <mergeCell ref="J8:J9"/>
    <mergeCell ref="I8:I9"/>
    <mergeCell ref="H8:H9"/>
    <mergeCell ref="G8:G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S11"/>
  <sheetViews>
    <sheetView view="pageLayout" zoomScale="130" zoomScaleNormal="100" zoomScalePageLayoutView="130" workbookViewId="0">
      <selection activeCell="G7" sqref="G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1</v>
      </c>
      <c r="C8" s="9"/>
      <c r="D8" s="24" t="s">
        <v>64</v>
      </c>
      <c r="E8" s="7"/>
      <c r="F8" s="8"/>
      <c r="G8" s="455"/>
      <c r="H8" s="298" t="s">
        <v>166</v>
      </c>
      <c r="I8" s="449">
        <v>1</v>
      </c>
      <c r="J8" s="449">
        <v>1</v>
      </c>
      <c r="K8" s="25" t="s">
        <v>19</v>
      </c>
      <c r="L8" s="36" t="s">
        <v>71</v>
      </c>
      <c r="M8" s="38" t="s">
        <v>163</v>
      </c>
      <c r="N8" s="33">
        <v>1</v>
      </c>
      <c r="O8" s="33">
        <v>1</v>
      </c>
      <c r="P8" s="33">
        <v>1</v>
      </c>
      <c r="Q8" s="23">
        <v>1</v>
      </c>
      <c r="R8" s="23" t="s">
        <v>528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456"/>
      <c r="H9" s="452"/>
      <c r="I9" s="450"/>
      <c r="J9" s="450"/>
      <c r="K9" s="25" t="s">
        <v>21</v>
      </c>
      <c r="L9" s="36" t="s">
        <v>73</v>
      </c>
      <c r="M9" s="33" t="s">
        <v>164</v>
      </c>
      <c r="N9" s="33">
        <v>1</v>
      </c>
      <c r="O9" s="33">
        <v>1</v>
      </c>
      <c r="P9" s="33">
        <v>1</v>
      </c>
      <c r="Q9" s="23">
        <v>96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456"/>
      <c r="H10" s="452"/>
      <c r="I10" s="450"/>
      <c r="J10" s="450"/>
      <c r="K10" s="25" t="s">
        <v>23</v>
      </c>
      <c r="L10" s="36" t="s">
        <v>72</v>
      </c>
      <c r="M10" s="33" t="s">
        <v>165</v>
      </c>
      <c r="N10" s="33">
        <v>1</v>
      </c>
      <c r="O10" s="33">
        <v>1</v>
      </c>
      <c r="P10" s="33">
        <v>1</v>
      </c>
      <c r="Q10" s="23">
        <v>1</v>
      </c>
      <c r="R10" s="23" t="s">
        <v>528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457"/>
      <c r="H11" s="299"/>
      <c r="I11" s="451"/>
      <c r="J11" s="451"/>
      <c r="K11" s="25" t="s">
        <v>26</v>
      </c>
      <c r="L11" s="36" t="s">
        <v>74</v>
      </c>
      <c r="M11" s="33">
        <v>120</v>
      </c>
      <c r="N11" s="33">
        <v>1</v>
      </c>
      <c r="O11" s="33">
        <v>1</v>
      </c>
      <c r="P11" s="33">
        <v>1</v>
      </c>
      <c r="Q11" s="23">
        <v>1</v>
      </c>
      <c r="R11" s="23" t="s">
        <v>528</v>
      </c>
      <c r="S11" s="23" t="s">
        <v>44</v>
      </c>
    </row>
  </sheetData>
  <mergeCells count="5">
    <mergeCell ref="A6:B6"/>
    <mergeCell ref="J8:J11"/>
    <mergeCell ref="I8:I11"/>
    <mergeCell ref="H8:H11"/>
    <mergeCell ref="G8:G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S27"/>
  <sheetViews>
    <sheetView view="pageLayout" zoomScale="115" zoomScaleNormal="100" zoomScalePageLayoutView="115" workbookViewId="0">
      <selection activeCell="J8" sqref="J8:J2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7</v>
      </c>
      <c r="C8" s="9"/>
      <c r="D8" s="35" t="s">
        <v>130</v>
      </c>
      <c r="E8" s="7"/>
      <c r="F8" s="8"/>
      <c r="G8" s="455"/>
      <c r="H8" s="298" t="s">
        <v>683</v>
      </c>
      <c r="I8" s="449">
        <v>1</v>
      </c>
      <c r="J8" s="449">
        <v>7</v>
      </c>
      <c r="K8" s="25" t="s">
        <v>19</v>
      </c>
      <c r="L8" s="36" t="s">
        <v>131</v>
      </c>
      <c r="M8" s="38" t="s">
        <v>132</v>
      </c>
      <c r="N8" s="33">
        <v>1</v>
      </c>
      <c r="O8" s="33">
        <v>1</v>
      </c>
      <c r="P8" s="34">
        <f>O8*7</f>
        <v>7</v>
      </c>
      <c r="Q8" s="23">
        <v>91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456"/>
      <c r="H9" s="452"/>
      <c r="I9" s="450"/>
      <c r="J9" s="450"/>
      <c r="K9" s="25" t="s">
        <v>21</v>
      </c>
      <c r="L9" s="36" t="s">
        <v>133</v>
      </c>
      <c r="M9" s="33" t="s">
        <v>134</v>
      </c>
      <c r="N9" s="33">
        <v>1</v>
      </c>
      <c r="O9" s="33">
        <v>1</v>
      </c>
      <c r="P9" s="34">
        <f t="shared" ref="P9:P27" si="0">O9*7</f>
        <v>7</v>
      </c>
      <c r="Q9" s="23">
        <v>89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456"/>
      <c r="H10" s="452"/>
      <c r="I10" s="450"/>
      <c r="J10" s="450"/>
      <c r="K10" s="25" t="s">
        <v>23</v>
      </c>
      <c r="L10" s="36" t="s">
        <v>135</v>
      </c>
      <c r="M10" s="33" t="s">
        <v>136</v>
      </c>
      <c r="N10" s="33">
        <v>3</v>
      </c>
      <c r="O10" s="33">
        <v>3</v>
      </c>
      <c r="P10" s="34">
        <f t="shared" si="0"/>
        <v>21</v>
      </c>
      <c r="Q10" s="23">
        <v>24</v>
      </c>
      <c r="R10" s="23" t="s">
        <v>506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456"/>
      <c r="H11" s="452"/>
      <c r="I11" s="450"/>
      <c r="J11" s="450"/>
      <c r="K11" s="25" t="s">
        <v>26</v>
      </c>
      <c r="L11" s="36" t="s">
        <v>82</v>
      </c>
      <c r="M11" s="33" t="s">
        <v>137</v>
      </c>
      <c r="N11" s="33">
        <v>2</v>
      </c>
      <c r="O11" s="33">
        <v>2</v>
      </c>
      <c r="P11" s="34">
        <f t="shared" si="0"/>
        <v>14</v>
      </c>
      <c r="Q11" s="23">
        <v>37</v>
      </c>
      <c r="R11" s="23" t="s">
        <v>506</v>
      </c>
      <c r="S11" s="23" t="s">
        <v>44</v>
      </c>
    </row>
    <row r="12" spans="1:19" ht="14.25" customHeight="1" x14ac:dyDescent="0.25">
      <c r="A12" s="4"/>
      <c r="B12" s="8"/>
      <c r="C12" s="7"/>
      <c r="D12" s="7"/>
      <c r="E12" s="7"/>
      <c r="F12" s="8"/>
      <c r="G12" s="456"/>
      <c r="H12" s="452"/>
      <c r="I12" s="450"/>
      <c r="J12" s="450"/>
      <c r="K12" s="25" t="s">
        <v>29</v>
      </c>
      <c r="L12" s="36" t="s">
        <v>83</v>
      </c>
      <c r="M12" s="33" t="s">
        <v>138</v>
      </c>
      <c r="N12" s="33">
        <v>2</v>
      </c>
      <c r="O12" s="33">
        <v>2</v>
      </c>
      <c r="P12" s="34">
        <f t="shared" si="0"/>
        <v>14</v>
      </c>
      <c r="Q12" s="23">
        <v>97</v>
      </c>
      <c r="R12" s="23" t="s">
        <v>506</v>
      </c>
      <c r="S12" s="23" t="s">
        <v>44</v>
      </c>
    </row>
    <row r="13" spans="1:19" ht="14.25" customHeight="1" x14ac:dyDescent="0.25">
      <c r="A13" s="4"/>
      <c r="B13" s="8"/>
      <c r="C13" s="7"/>
      <c r="D13" s="7"/>
      <c r="E13" s="7"/>
      <c r="F13" s="8"/>
      <c r="G13" s="456"/>
      <c r="H13" s="452"/>
      <c r="I13" s="450"/>
      <c r="J13" s="450"/>
      <c r="K13" s="25" t="s">
        <v>32</v>
      </c>
      <c r="L13" s="36" t="s">
        <v>81</v>
      </c>
      <c r="M13" s="33" t="s">
        <v>44</v>
      </c>
      <c r="N13" s="33">
        <v>1</v>
      </c>
      <c r="O13" s="33">
        <v>1</v>
      </c>
      <c r="P13" s="34">
        <f t="shared" si="0"/>
        <v>7</v>
      </c>
      <c r="Q13" s="23">
        <v>7</v>
      </c>
      <c r="R13" s="23" t="s">
        <v>528</v>
      </c>
      <c r="S13" s="23" t="s">
        <v>44</v>
      </c>
    </row>
    <row r="14" spans="1:19" ht="14.25" customHeight="1" x14ac:dyDescent="0.25">
      <c r="A14" s="4"/>
      <c r="B14" s="8"/>
      <c r="C14" s="7"/>
      <c r="D14" s="7"/>
      <c r="E14" s="7"/>
      <c r="F14" s="8"/>
      <c r="G14" s="456"/>
      <c r="H14" s="452"/>
      <c r="I14" s="450"/>
      <c r="J14" s="450"/>
      <c r="K14" s="25" t="s">
        <v>35</v>
      </c>
      <c r="L14" s="36" t="s">
        <v>139</v>
      </c>
      <c r="M14" s="33" t="s">
        <v>140</v>
      </c>
      <c r="N14" s="33">
        <v>1</v>
      </c>
      <c r="O14" s="33">
        <v>1</v>
      </c>
      <c r="P14" s="34">
        <f t="shared" si="0"/>
        <v>7</v>
      </c>
      <c r="Q14" s="23">
        <v>0.5</v>
      </c>
      <c r="R14" s="23" t="s">
        <v>506</v>
      </c>
      <c r="S14" s="23" t="s">
        <v>44</v>
      </c>
    </row>
    <row r="15" spans="1:19" ht="14.25" customHeight="1" x14ac:dyDescent="0.25">
      <c r="A15" s="4"/>
      <c r="B15" s="8"/>
      <c r="C15" s="7"/>
      <c r="D15" s="7"/>
      <c r="E15" s="7"/>
      <c r="F15" s="8"/>
      <c r="G15" s="456"/>
      <c r="H15" s="452"/>
      <c r="I15" s="450"/>
      <c r="J15" s="450"/>
      <c r="K15" s="25" t="s">
        <v>37</v>
      </c>
      <c r="L15" s="36" t="s">
        <v>141</v>
      </c>
      <c r="M15" s="33" t="s">
        <v>142</v>
      </c>
      <c r="N15" s="33">
        <v>3</v>
      </c>
      <c r="O15" s="33">
        <v>3</v>
      </c>
      <c r="P15" s="34">
        <f t="shared" si="0"/>
        <v>21</v>
      </c>
      <c r="Q15" s="23">
        <v>2.5</v>
      </c>
      <c r="R15" s="23" t="s">
        <v>506</v>
      </c>
      <c r="S15" s="23" t="s">
        <v>44</v>
      </c>
    </row>
    <row r="16" spans="1:19" ht="14.25" customHeight="1" x14ac:dyDescent="0.25">
      <c r="A16" s="4"/>
      <c r="B16" s="8"/>
      <c r="C16" s="7"/>
      <c r="D16" s="7"/>
      <c r="E16" s="7"/>
      <c r="F16" s="8"/>
      <c r="G16" s="456"/>
      <c r="H16" s="452"/>
      <c r="I16" s="450"/>
      <c r="J16" s="450"/>
      <c r="K16" s="25" t="s">
        <v>40</v>
      </c>
      <c r="L16" s="36" t="s">
        <v>143</v>
      </c>
      <c r="M16" s="33" t="s">
        <v>144</v>
      </c>
      <c r="N16" s="33">
        <v>3</v>
      </c>
      <c r="O16" s="33">
        <v>3</v>
      </c>
      <c r="P16" s="34">
        <f t="shared" si="0"/>
        <v>21</v>
      </c>
      <c r="Q16" s="23">
        <v>2.7</v>
      </c>
      <c r="R16" s="23" t="s">
        <v>506</v>
      </c>
      <c r="S16" s="23" t="s">
        <v>44</v>
      </c>
    </row>
    <row r="17" spans="1:19" ht="14.25" customHeight="1" x14ac:dyDescent="0.25">
      <c r="A17" s="4"/>
      <c r="B17" s="8"/>
      <c r="C17" s="7"/>
      <c r="D17" s="7"/>
      <c r="E17" s="7"/>
      <c r="F17" s="8"/>
      <c r="G17" s="456"/>
      <c r="H17" s="452"/>
      <c r="I17" s="450"/>
      <c r="J17" s="450"/>
      <c r="K17" s="25" t="s">
        <v>51</v>
      </c>
      <c r="L17" s="36" t="s">
        <v>145</v>
      </c>
      <c r="M17" s="33" t="s">
        <v>146</v>
      </c>
      <c r="N17" s="33">
        <v>3</v>
      </c>
      <c r="O17" s="33">
        <v>3</v>
      </c>
      <c r="P17" s="34">
        <f t="shared" si="0"/>
        <v>21</v>
      </c>
      <c r="Q17" s="23">
        <v>5.7</v>
      </c>
      <c r="R17" s="23" t="s">
        <v>506</v>
      </c>
      <c r="S17" s="23" t="s">
        <v>44</v>
      </c>
    </row>
    <row r="18" spans="1:19" ht="14.25" customHeight="1" x14ac:dyDescent="0.25">
      <c r="A18" s="4"/>
      <c r="B18" s="8"/>
      <c r="C18" s="7"/>
      <c r="D18" s="7"/>
      <c r="E18" s="7"/>
      <c r="F18" s="8"/>
      <c r="G18" s="456"/>
      <c r="H18" s="452"/>
      <c r="I18" s="450"/>
      <c r="J18" s="450"/>
      <c r="K18" s="25" t="s">
        <v>52</v>
      </c>
      <c r="L18" s="36" t="s">
        <v>147</v>
      </c>
      <c r="M18" s="33" t="s">
        <v>148</v>
      </c>
      <c r="N18" s="33">
        <v>3</v>
      </c>
      <c r="O18" s="33">
        <v>3</v>
      </c>
      <c r="P18" s="34">
        <f t="shared" si="0"/>
        <v>21</v>
      </c>
      <c r="Q18" s="23">
        <v>3.7</v>
      </c>
      <c r="R18" s="23" t="s">
        <v>506</v>
      </c>
      <c r="S18" s="23" t="s">
        <v>44</v>
      </c>
    </row>
    <row r="19" spans="1:19" ht="14.25" customHeight="1" x14ac:dyDescent="0.25">
      <c r="A19" s="4"/>
      <c r="B19" s="8"/>
      <c r="C19" s="7"/>
      <c r="D19" s="7"/>
      <c r="E19" s="7"/>
      <c r="F19" s="8"/>
      <c r="G19" s="456"/>
      <c r="H19" s="452"/>
      <c r="I19" s="450"/>
      <c r="J19" s="450"/>
      <c r="K19" s="25" t="s">
        <v>53</v>
      </c>
      <c r="L19" s="36" t="s">
        <v>38</v>
      </c>
      <c r="M19" s="33" t="s">
        <v>149</v>
      </c>
      <c r="N19" s="33">
        <v>9</v>
      </c>
      <c r="O19" s="33">
        <v>9</v>
      </c>
      <c r="P19" s="34">
        <f t="shared" si="0"/>
        <v>63</v>
      </c>
      <c r="Q19" s="34">
        <v>63</v>
      </c>
      <c r="R19" s="23" t="s">
        <v>528</v>
      </c>
      <c r="S19" s="23" t="s">
        <v>44</v>
      </c>
    </row>
    <row r="20" spans="1:19" ht="14.25" customHeight="1" x14ac:dyDescent="0.25">
      <c r="A20" s="4"/>
      <c r="B20" s="8"/>
      <c r="C20" s="7"/>
      <c r="D20" s="7"/>
      <c r="E20" s="7"/>
      <c r="F20" s="8"/>
      <c r="G20" s="456"/>
      <c r="H20" s="452"/>
      <c r="I20" s="450"/>
      <c r="J20" s="450"/>
      <c r="K20" s="25" t="s">
        <v>57</v>
      </c>
      <c r="L20" s="36" t="s">
        <v>162</v>
      </c>
      <c r="M20" s="33" t="s">
        <v>85</v>
      </c>
      <c r="N20" s="33">
        <v>9</v>
      </c>
      <c r="O20" s="33">
        <v>9</v>
      </c>
      <c r="P20" s="34">
        <f t="shared" si="0"/>
        <v>63</v>
      </c>
      <c r="Q20" s="34">
        <v>63</v>
      </c>
      <c r="R20" s="23" t="s">
        <v>528</v>
      </c>
      <c r="S20" s="23" t="s">
        <v>44</v>
      </c>
    </row>
    <row r="21" spans="1:19" x14ac:dyDescent="0.25">
      <c r="A21" s="4"/>
      <c r="B21" s="8"/>
      <c r="C21" s="7"/>
      <c r="D21" s="7"/>
      <c r="E21" s="7"/>
      <c r="F21" s="8"/>
      <c r="G21" s="456"/>
      <c r="H21" s="452"/>
      <c r="I21" s="450"/>
      <c r="J21" s="450"/>
      <c r="K21" s="25" t="s">
        <v>58</v>
      </c>
      <c r="L21" s="36" t="s">
        <v>150</v>
      </c>
      <c r="M21" s="33" t="s">
        <v>39</v>
      </c>
      <c r="N21" s="33">
        <v>1</v>
      </c>
      <c r="O21" s="33">
        <v>1</v>
      </c>
      <c r="P21" s="34">
        <f t="shared" si="0"/>
        <v>7</v>
      </c>
      <c r="Q21" s="34">
        <v>7</v>
      </c>
      <c r="R21" s="23" t="s">
        <v>528</v>
      </c>
      <c r="S21" s="23" t="s">
        <v>44</v>
      </c>
    </row>
    <row r="22" spans="1:19" x14ac:dyDescent="0.25">
      <c r="A22" s="4"/>
      <c r="B22" s="8"/>
      <c r="C22" s="7"/>
      <c r="D22" s="7"/>
      <c r="E22" s="7"/>
      <c r="F22" s="8"/>
      <c r="G22" s="456"/>
      <c r="H22" s="452"/>
      <c r="I22" s="450"/>
      <c r="J22" s="450"/>
      <c r="K22" s="25" t="s">
        <v>65</v>
      </c>
      <c r="L22" s="36" t="s">
        <v>151</v>
      </c>
      <c r="M22" s="33" t="s">
        <v>152</v>
      </c>
      <c r="N22" s="33">
        <v>4</v>
      </c>
      <c r="O22" s="33">
        <v>4</v>
      </c>
      <c r="P22" s="34">
        <f t="shared" si="0"/>
        <v>28</v>
      </c>
      <c r="Q22" s="23">
        <v>16</v>
      </c>
      <c r="R22" s="23" t="s">
        <v>506</v>
      </c>
      <c r="S22" s="23" t="s">
        <v>44</v>
      </c>
    </row>
    <row r="23" spans="1:19" x14ac:dyDescent="0.25">
      <c r="A23" s="4"/>
      <c r="B23" s="8"/>
      <c r="C23" s="7"/>
      <c r="D23" s="7"/>
      <c r="E23" s="7"/>
      <c r="F23" s="8"/>
      <c r="G23" s="456"/>
      <c r="H23" s="452"/>
      <c r="I23" s="450"/>
      <c r="J23" s="450"/>
      <c r="K23" s="25" t="s">
        <v>66</v>
      </c>
      <c r="L23" s="36" t="s">
        <v>153</v>
      </c>
      <c r="M23" s="33" t="s">
        <v>161</v>
      </c>
      <c r="N23" s="33">
        <v>1</v>
      </c>
      <c r="O23" s="33">
        <v>1</v>
      </c>
      <c r="P23" s="34">
        <f t="shared" si="0"/>
        <v>7</v>
      </c>
      <c r="Q23" s="23">
        <v>7</v>
      </c>
      <c r="R23" s="23" t="s">
        <v>528</v>
      </c>
      <c r="S23" s="23" t="s">
        <v>44</v>
      </c>
    </row>
    <row r="24" spans="1:19" x14ac:dyDescent="0.25">
      <c r="A24" s="4"/>
      <c r="B24" s="8"/>
      <c r="C24" s="7"/>
      <c r="D24" s="7"/>
      <c r="E24" s="7"/>
      <c r="F24" s="8"/>
      <c r="G24" s="456"/>
      <c r="H24" s="452"/>
      <c r="I24" s="450"/>
      <c r="J24" s="450"/>
      <c r="K24" s="25" t="s">
        <v>67</v>
      </c>
      <c r="L24" s="36" t="s">
        <v>154</v>
      </c>
      <c r="M24" s="33" t="s">
        <v>155</v>
      </c>
      <c r="N24" s="33">
        <v>1</v>
      </c>
      <c r="O24" s="33">
        <v>1</v>
      </c>
      <c r="P24" s="34">
        <f t="shared" si="0"/>
        <v>7</v>
      </c>
      <c r="Q24" s="23">
        <v>7</v>
      </c>
      <c r="R24" s="23" t="s">
        <v>528</v>
      </c>
      <c r="S24" s="23" t="s">
        <v>44</v>
      </c>
    </row>
    <row r="25" spans="1:19" x14ac:dyDescent="0.25">
      <c r="A25" s="4"/>
      <c r="B25" s="8"/>
      <c r="C25" s="7"/>
      <c r="D25" s="7"/>
      <c r="E25" s="7"/>
      <c r="F25" s="8"/>
      <c r="G25" s="456"/>
      <c r="H25" s="452"/>
      <c r="I25" s="450"/>
      <c r="J25" s="450"/>
      <c r="K25" s="25" t="s">
        <v>68</v>
      </c>
      <c r="L25" s="36" t="s">
        <v>156</v>
      </c>
      <c r="M25" s="33" t="s">
        <v>157</v>
      </c>
      <c r="N25" s="33">
        <v>1</v>
      </c>
      <c r="O25" s="33">
        <v>1</v>
      </c>
      <c r="P25" s="34">
        <f t="shared" si="0"/>
        <v>7</v>
      </c>
      <c r="Q25" s="23">
        <v>7</v>
      </c>
      <c r="R25" s="23" t="s">
        <v>528</v>
      </c>
      <c r="S25" s="23" t="s">
        <v>44</v>
      </c>
    </row>
    <row r="26" spans="1:19" x14ac:dyDescent="0.25">
      <c r="A26" s="4"/>
      <c r="B26" s="8"/>
      <c r="C26" s="7"/>
      <c r="D26" s="7"/>
      <c r="E26" s="7"/>
      <c r="F26" s="8"/>
      <c r="G26" s="456"/>
      <c r="H26" s="452"/>
      <c r="I26" s="450"/>
      <c r="J26" s="450"/>
      <c r="K26" s="25" t="s">
        <v>69</v>
      </c>
      <c r="L26" s="36" t="s">
        <v>158</v>
      </c>
      <c r="M26" s="33" t="s">
        <v>157</v>
      </c>
      <c r="N26" s="33">
        <v>1</v>
      </c>
      <c r="O26" s="33">
        <v>1</v>
      </c>
      <c r="P26" s="34">
        <f t="shared" si="0"/>
        <v>7</v>
      </c>
      <c r="Q26" s="23">
        <v>7</v>
      </c>
      <c r="R26" s="23" t="s">
        <v>528</v>
      </c>
      <c r="S26" s="23" t="s">
        <v>44</v>
      </c>
    </row>
    <row r="27" spans="1:19" x14ac:dyDescent="0.25">
      <c r="A27" s="4"/>
      <c r="B27" s="8"/>
      <c r="C27" s="7"/>
      <c r="D27" s="7"/>
      <c r="E27" s="7"/>
      <c r="F27" s="8"/>
      <c r="G27" s="457"/>
      <c r="H27" s="299"/>
      <c r="I27" s="451"/>
      <c r="J27" s="451"/>
      <c r="K27" s="25" t="s">
        <v>70</v>
      </c>
      <c r="L27" s="36" t="s">
        <v>160</v>
      </c>
      <c r="M27" s="33" t="s">
        <v>159</v>
      </c>
      <c r="N27" s="33">
        <v>1</v>
      </c>
      <c r="O27" s="33">
        <v>1</v>
      </c>
      <c r="P27" s="34">
        <f t="shared" si="0"/>
        <v>7</v>
      </c>
      <c r="Q27" s="23">
        <v>7</v>
      </c>
      <c r="R27" s="23" t="s">
        <v>528</v>
      </c>
      <c r="S27" s="23" t="s">
        <v>44</v>
      </c>
    </row>
  </sheetData>
  <mergeCells count="5">
    <mergeCell ref="A6:B6"/>
    <mergeCell ref="J8:J27"/>
    <mergeCell ref="G8:G27"/>
    <mergeCell ref="H8:H27"/>
    <mergeCell ref="I8:I2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S26"/>
  <sheetViews>
    <sheetView view="pageLayout" zoomScale="115" zoomScaleNormal="100" zoomScalePageLayoutView="115" workbookViewId="0">
      <selection activeCell="E7" sqref="D7:E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1</v>
      </c>
      <c r="C8" s="9"/>
      <c r="D8" s="458" t="s">
        <v>56</v>
      </c>
      <c r="E8" s="7"/>
      <c r="F8" s="8"/>
      <c r="G8" s="455"/>
      <c r="H8" s="298" t="s">
        <v>193</v>
      </c>
      <c r="I8" s="449">
        <v>2</v>
      </c>
      <c r="J8" s="449">
        <v>2</v>
      </c>
      <c r="K8" s="25" t="s">
        <v>19</v>
      </c>
      <c r="L8" s="36" t="s">
        <v>115</v>
      </c>
      <c r="M8" s="33" t="s">
        <v>127</v>
      </c>
      <c r="N8" s="33">
        <v>2</v>
      </c>
      <c r="O8" s="33">
        <f>N8</f>
        <v>2</v>
      </c>
      <c r="P8" s="34">
        <f>O8</f>
        <v>2</v>
      </c>
      <c r="Q8" s="23">
        <v>2</v>
      </c>
      <c r="R8" s="23" t="s">
        <v>528</v>
      </c>
      <c r="S8" s="23" t="s">
        <v>44</v>
      </c>
    </row>
    <row r="9" spans="1:19" ht="14.25" customHeight="1" x14ac:dyDescent="0.25">
      <c r="A9" s="4"/>
      <c r="B9" s="8"/>
      <c r="C9" s="7"/>
      <c r="D9" s="459"/>
      <c r="E9" s="7"/>
      <c r="F9" s="8"/>
      <c r="G9" s="456"/>
      <c r="H9" s="452"/>
      <c r="I9" s="450"/>
      <c r="J9" s="450"/>
      <c r="K9" s="25" t="s">
        <v>21</v>
      </c>
      <c r="L9" s="36" t="s">
        <v>116</v>
      </c>
      <c r="M9" s="33" t="s">
        <v>44</v>
      </c>
      <c r="N9" s="33">
        <v>4</v>
      </c>
      <c r="O9" s="33">
        <f t="shared" ref="O9:P26" si="0">N9</f>
        <v>4</v>
      </c>
      <c r="P9" s="34">
        <f t="shared" si="0"/>
        <v>4</v>
      </c>
      <c r="Q9" s="23">
        <v>4</v>
      </c>
      <c r="R9" s="23" t="s">
        <v>528</v>
      </c>
      <c r="S9" s="23" t="s">
        <v>44</v>
      </c>
    </row>
    <row r="10" spans="1:19" ht="14.25" customHeight="1" x14ac:dyDescent="0.25">
      <c r="A10" s="8"/>
      <c r="B10" s="8"/>
      <c r="C10" s="8"/>
      <c r="D10" s="459"/>
      <c r="E10" s="8"/>
      <c r="F10" s="8"/>
      <c r="G10" s="456"/>
      <c r="H10" s="452"/>
      <c r="I10" s="450"/>
      <c r="J10" s="450"/>
      <c r="K10" s="25" t="s">
        <v>23</v>
      </c>
      <c r="L10" s="36" t="s">
        <v>117</v>
      </c>
      <c r="M10" s="33" t="s">
        <v>44</v>
      </c>
      <c r="N10" s="33">
        <v>2</v>
      </c>
      <c r="O10" s="33">
        <f t="shared" si="0"/>
        <v>2</v>
      </c>
      <c r="P10" s="34">
        <f t="shared" si="0"/>
        <v>2</v>
      </c>
      <c r="Q10" s="23">
        <v>2</v>
      </c>
      <c r="R10" s="23" t="s">
        <v>528</v>
      </c>
      <c r="S10" s="23" t="s">
        <v>44</v>
      </c>
    </row>
    <row r="11" spans="1:19" ht="14.25" customHeight="1" x14ac:dyDescent="0.25">
      <c r="A11" s="4"/>
      <c r="B11" s="8"/>
      <c r="C11" s="7"/>
      <c r="D11" s="459"/>
      <c r="E11" s="7"/>
      <c r="F11" s="8"/>
      <c r="G11" s="456"/>
      <c r="H11" s="452"/>
      <c r="I11" s="450"/>
      <c r="J11" s="450"/>
      <c r="K11" s="25" t="s">
        <v>26</v>
      </c>
      <c r="L11" s="36" t="s">
        <v>118</v>
      </c>
      <c r="M11" s="33" t="s">
        <v>119</v>
      </c>
      <c r="N11" s="33">
        <v>2</v>
      </c>
      <c r="O11" s="33">
        <f t="shared" si="0"/>
        <v>2</v>
      </c>
      <c r="P11" s="34">
        <f t="shared" si="0"/>
        <v>2</v>
      </c>
      <c r="Q11" s="23">
        <v>9</v>
      </c>
      <c r="R11" s="23" t="s">
        <v>506</v>
      </c>
      <c r="S11" s="23" t="s">
        <v>44</v>
      </c>
    </row>
    <row r="12" spans="1:19" ht="14.25" customHeight="1" x14ac:dyDescent="0.25">
      <c r="A12" s="4"/>
      <c r="B12" s="8"/>
      <c r="C12" s="7"/>
      <c r="D12" s="459"/>
      <c r="E12" s="7"/>
      <c r="F12" s="8"/>
      <c r="G12" s="456"/>
      <c r="H12" s="452"/>
      <c r="I12" s="450"/>
      <c r="J12" s="450"/>
      <c r="K12" s="25" t="s">
        <v>29</v>
      </c>
      <c r="L12" s="37" t="s">
        <v>120</v>
      </c>
      <c r="M12" s="33" t="s">
        <v>44</v>
      </c>
      <c r="N12" s="33">
        <v>16</v>
      </c>
      <c r="O12" s="33">
        <f t="shared" si="0"/>
        <v>16</v>
      </c>
      <c r="P12" s="34">
        <f t="shared" si="0"/>
        <v>16</v>
      </c>
      <c r="Q12" s="23">
        <v>16</v>
      </c>
      <c r="R12" s="23" t="s">
        <v>528</v>
      </c>
      <c r="S12" s="23" t="s">
        <v>44</v>
      </c>
    </row>
    <row r="13" spans="1:19" ht="14.25" customHeight="1" x14ac:dyDescent="0.25">
      <c r="A13" s="4"/>
      <c r="B13" s="8"/>
      <c r="C13" s="7"/>
      <c r="D13" s="459"/>
      <c r="E13" s="7"/>
      <c r="F13" s="8"/>
      <c r="G13" s="457"/>
      <c r="H13" s="299"/>
      <c r="I13" s="451"/>
      <c r="J13" s="451"/>
      <c r="K13" s="25" t="s">
        <v>32</v>
      </c>
      <c r="L13" s="36" t="s">
        <v>121</v>
      </c>
      <c r="M13" s="33" t="s">
        <v>44</v>
      </c>
      <c r="N13" s="33">
        <v>16</v>
      </c>
      <c r="O13" s="33">
        <f t="shared" si="0"/>
        <v>16</v>
      </c>
      <c r="P13" s="34">
        <f t="shared" si="0"/>
        <v>16</v>
      </c>
      <c r="Q13" s="23">
        <v>16</v>
      </c>
      <c r="R13" s="23" t="s">
        <v>528</v>
      </c>
      <c r="S13" s="23" t="s">
        <v>44</v>
      </c>
    </row>
    <row r="14" spans="1:19" ht="14.25" customHeight="1" x14ac:dyDescent="0.25">
      <c r="A14" s="4"/>
      <c r="B14" s="8"/>
      <c r="C14" s="7"/>
      <c r="D14" s="459"/>
      <c r="E14" s="7"/>
      <c r="F14" s="8"/>
      <c r="G14" s="10"/>
      <c r="H14" s="18"/>
      <c r="I14" s="19"/>
      <c r="J14" s="19"/>
      <c r="K14" s="25" t="s">
        <v>35</v>
      </c>
      <c r="L14" s="36" t="s">
        <v>122</v>
      </c>
      <c r="M14" s="33" t="s">
        <v>44</v>
      </c>
      <c r="N14" s="33">
        <v>16</v>
      </c>
      <c r="O14" s="33">
        <f t="shared" si="0"/>
        <v>16</v>
      </c>
      <c r="P14" s="34">
        <f t="shared" si="0"/>
        <v>16</v>
      </c>
      <c r="Q14" s="23">
        <v>16</v>
      </c>
      <c r="R14" s="23" t="s">
        <v>528</v>
      </c>
      <c r="S14" s="23" t="s">
        <v>44</v>
      </c>
    </row>
    <row r="15" spans="1:19" ht="14.25" customHeight="1" x14ac:dyDescent="0.25">
      <c r="A15" s="4"/>
      <c r="B15" s="8"/>
      <c r="C15" s="7"/>
      <c r="D15" s="459"/>
      <c r="E15" s="7"/>
      <c r="F15" s="8"/>
      <c r="G15" s="10"/>
      <c r="H15" s="18"/>
      <c r="I15" s="19"/>
      <c r="J15" s="19"/>
      <c r="K15" s="25" t="s">
        <v>37</v>
      </c>
      <c r="L15" s="36" t="s">
        <v>50</v>
      </c>
      <c r="M15" s="33" t="s">
        <v>44</v>
      </c>
      <c r="N15" s="33">
        <v>16</v>
      </c>
      <c r="O15" s="33">
        <f t="shared" si="0"/>
        <v>16</v>
      </c>
      <c r="P15" s="34">
        <f t="shared" si="0"/>
        <v>16</v>
      </c>
      <c r="Q15" s="23">
        <v>16</v>
      </c>
      <c r="R15" s="23" t="s">
        <v>528</v>
      </c>
      <c r="S15" s="23" t="s">
        <v>44</v>
      </c>
    </row>
    <row r="16" spans="1:19" ht="14.25" customHeight="1" x14ac:dyDescent="0.25">
      <c r="A16" s="4"/>
      <c r="B16" s="8"/>
      <c r="C16" s="7"/>
      <c r="D16" s="459"/>
      <c r="E16" s="7"/>
      <c r="F16" s="8"/>
      <c r="G16" s="455"/>
      <c r="H16" s="298" t="s">
        <v>682</v>
      </c>
      <c r="I16" s="449">
        <v>16</v>
      </c>
      <c r="J16" s="449">
        <v>16</v>
      </c>
      <c r="K16" s="25" t="s">
        <v>40</v>
      </c>
      <c r="L16" s="36" t="s">
        <v>45</v>
      </c>
      <c r="M16" s="38" t="s">
        <v>128</v>
      </c>
      <c r="N16" s="33">
        <v>16</v>
      </c>
      <c r="O16" s="33">
        <f t="shared" si="0"/>
        <v>16</v>
      </c>
      <c r="P16" s="34">
        <f t="shared" si="0"/>
        <v>16</v>
      </c>
      <c r="Q16" s="23">
        <v>16</v>
      </c>
      <c r="R16" s="23" t="s">
        <v>528</v>
      </c>
      <c r="S16" s="23" t="s">
        <v>44</v>
      </c>
    </row>
    <row r="17" spans="1:19" ht="14.25" customHeight="1" x14ac:dyDescent="0.25">
      <c r="A17" s="4"/>
      <c r="B17" s="8"/>
      <c r="C17" s="7"/>
      <c r="D17" s="459"/>
      <c r="E17" s="7"/>
      <c r="F17" s="8"/>
      <c r="G17" s="457"/>
      <c r="H17" s="299"/>
      <c r="I17" s="451"/>
      <c r="J17" s="451"/>
      <c r="K17" s="25" t="s">
        <v>51</v>
      </c>
      <c r="L17" s="36" t="s">
        <v>46</v>
      </c>
      <c r="M17" s="33" t="s">
        <v>44</v>
      </c>
      <c r="N17" s="33">
        <v>16</v>
      </c>
      <c r="O17" s="33">
        <f t="shared" si="0"/>
        <v>16</v>
      </c>
      <c r="P17" s="34">
        <f t="shared" si="0"/>
        <v>16</v>
      </c>
      <c r="Q17" s="23">
        <v>16</v>
      </c>
      <c r="R17" s="23" t="s">
        <v>528</v>
      </c>
      <c r="S17" s="23" t="s">
        <v>44</v>
      </c>
    </row>
    <row r="18" spans="1:19" ht="14.25" customHeight="1" x14ac:dyDescent="0.25">
      <c r="A18" s="4"/>
      <c r="B18" s="8"/>
      <c r="C18" s="7"/>
      <c r="D18" s="459"/>
      <c r="E18" s="7"/>
      <c r="F18" s="8"/>
      <c r="G18" s="10"/>
      <c r="H18" s="18"/>
      <c r="I18" s="19"/>
      <c r="J18" s="19"/>
      <c r="K18" s="25" t="s">
        <v>52</v>
      </c>
      <c r="L18" s="36" t="s">
        <v>48</v>
      </c>
      <c r="M18" s="33" t="s">
        <v>44</v>
      </c>
      <c r="N18" s="33">
        <v>400</v>
      </c>
      <c r="O18" s="33">
        <f t="shared" si="0"/>
        <v>400</v>
      </c>
      <c r="P18" s="34">
        <f t="shared" si="0"/>
        <v>400</v>
      </c>
      <c r="Q18" s="23">
        <v>400</v>
      </c>
      <c r="R18" s="23" t="s">
        <v>528</v>
      </c>
      <c r="S18" s="23" t="s">
        <v>44</v>
      </c>
    </row>
    <row r="19" spans="1:19" ht="14.25" customHeight="1" x14ac:dyDescent="0.25">
      <c r="A19" s="4"/>
      <c r="B19" s="8"/>
      <c r="C19" s="7"/>
      <c r="D19" s="459"/>
      <c r="E19" s="7"/>
      <c r="F19" s="8"/>
      <c r="G19" s="10"/>
      <c r="H19" s="18"/>
      <c r="I19" s="19"/>
      <c r="J19" s="19"/>
      <c r="K19" s="25" t="s">
        <v>53</v>
      </c>
      <c r="L19" s="36" t="s">
        <v>47</v>
      </c>
      <c r="M19" s="33" t="s">
        <v>44</v>
      </c>
      <c r="N19" s="33">
        <v>400</v>
      </c>
      <c r="O19" s="33">
        <f t="shared" si="0"/>
        <v>400</v>
      </c>
      <c r="P19" s="34">
        <f t="shared" si="0"/>
        <v>400</v>
      </c>
      <c r="Q19" s="23">
        <v>400</v>
      </c>
      <c r="R19" s="23" t="s">
        <v>528</v>
      </c>
      <c r="S19" s="23" t="s">
        <v>44</v>
      </c>
    </row>
    <row r="20" spans="1:19" ht="14.25" customHeight="1" x14ac:dyDescent="0.25">
      <c r="A20" s="4"/>
      <c r="B20" s="8"/>
      <c r="C20" s="7"/>
      <c r="D20" s="459"/>
      <c r="E20" s="7"/>
      <c r="F20" s="8"/>
      <c r="G20" s="10"/>
      <c r="H20" s="18"/>
      <c r="I20" s="19"/>
      <c r="J20" s="19"/>
      <c r="K20" s="25" t="s">
        <v>57</v>
      </c>
      <c r="L20" s="36" t="s">
        <v>123</v>
      </c>
      <c r="M20" s="33" t="s">
        <v>44</v>
      </c>
      <c r="N20" s="33">
        <v>400</v>
      </c>
      <c r="O20" s="33">
        <f t="shared" si="0"/>
        <v>400</v>
      </c>
      <c r="P20" s="34">
        <f t="shared" si="0"/>
        <v>400</v>
      </c>
      <c r="Q20" s="23">
        <v>400</v>
      </c>
      <c r="R20" s="23" t="s">
        <v>528</v>
      </c>
      <c r="S20" s="23" t="s">
        <v>44</v>
      </c>
    </row>
    <row r="21" spans="1:19" ht="14.25" customHeight="1" x14ac:dyDescent="0.25">
      <c r="A21" s="4"/>
      <c r="B21" s="8"/>
      <c r="C21" s="7"/>
      <c r="D21" s="459"/>
      <c r="E21" s="7"/>
      <c r="F21" s="8"/>
      <c r="G21" s="10"/>
      <c r="H21" s="18"/>
      <c r="I21" s="19"/>
      <c r="J21" s="19"/>
      <c r="K21" s="25" t="s">
        <v>58</v>
      </c>
      <c r="L21" s="36" t="s">
        <v>49</v>
      </c>
      <c r="M21" s="33" t="s">
        <v>44</v>
      </c>
      <c r="N21" s="33">
        <v>432</v>
      </c>
      <c r="O21" s="33">
        <f t="shared" si="0"/>
        <v>432</v>
      </c>
      <c r="P21" s="34">
        <f t="shared" si="0"/>
        <v>432</v>
      </c>
      <c r="Q21" s="23">
        <v>432</v>
      </c>
      <c r="R21" s="23" t="s">
        <v>528</v>
      </c>
      <c r="S21" s="23" t="s">
        <v>44</v>
      </c>
    </row>
    <row r="22" spans="1:19" x14ac:dyDescent="0.25">
      <c r="A22" s="4"/>
      <c r="B22" s="8"/>
      <c r="C22" s="7"/>
      <c r="D22" s="459"/>
      <c r="E22" s="7"/>
      <c r="F22" s="8"/>
      <c r="G22" s="10"/>
      <c r="H22" s="18"/>
      <c r="I22" s="19"/>
      <c r="J22" s="19"/>
      <c r="K22" s="25" t="s">
        <v>65</v>
      </c>
      <c r="L22" s="36" t="s">
        <v>124</v>
      </c>
      <c r="M22" s="33" t="s">
        <v>129</v>
      </c>
      <c r="N22" s="33">
        <v>6</v>
      </c>
      <c r="O22" s="33">
        <v>6</v>
      </c>
      <c r="P22" s="34">
        <f t="shared" si="0"/>
        <v>6</v>
      </c>
      <c r="Q22" s="23">
        <v>16</v>
      </c>
      <c r="R22" s="23" t="s">
        <v>506</v>
      </c>
      <c r="S22" s="23" t="s">
        <v>44</v>
      </c>
    </row>
    <row r="23" spans="1:19" x14ac:dyDescent="0.25">
      <c r="A23" s="4"/>
      <c r="B23" s="8"/>
      <c r="C23" s="7"/>
      <c r="D23" s="459"/>
      <c r="E23" s="7"/>
      <c r="F23" s="8"/>
      <c r="G23" s="10"/>
      <c r="H23" s="18"/>
      <c r="I23" s="19"/>
      <c r="J23" s="19"/>
      <c r="K23" s="25" t="s">
        <v>66</v>
      </c>
      <c r="L23" s="36" t="s">
        <v>125</v>
      </c>
      <c r="M23" s="33" t="s">
        <v>44</v>
      </c>
      <c r="N23" s="33">
        <v>32</v>
      </c>
      <c r="O23" s="33">
        <f t="shared" si="0"/>
        <v>32</v>
      </c>
      <c r="P23" s="34">
        <f t="shared" si="0"/>
        <v>32</v>
      </c>
      <c r="Q23" s="23">
        <v>32</v>
      </c>
      <c r="R23" s="23" t="s">
        <v>528</v>
      </c>
      <c r="S23" s="23" t="s">
        <v>44</v>
      </c>
    </row>
    <row r="24" spans="1:19" x14ac:dyDescent="0.25">
      <c r="A24" s="4"/>
      <c r="B24" s="8"/>
      <c r="C24" s="7"/>
      <c r="D24" s="459"/>
      <c r="E24" s="7"/>
      <c r="F24" s="8"/>
      <c r="G24" s="10"/>
      <c r="H24" s="18"/>
      <c r="I24" s="19"/>
      <c r="J24" s="19"/>
      <c r="K24" s="25" t="s">
        <v>67</v>
      </c>
      <c r="L24" s="36" t="s">
        <v>126</v>
      </c>
      <c r="M24" s="33" t="s">
        <v>55</v>
      </c>
      <c r="N24" s="33">
        <v>4</v>
      </c>
      <c r="O24" s="33">
        <f t="shared" si="0"/>
        <v>4</v>
      </c>
      <c r="P24" s="34">
        <f t="shared" si="0"/>
        <v>4</v>
      </c>
      <c r="Q24" s="23">
        <v>8</v>
      </c>
      <c r="R24" s="23" t="s">
        <v>506</v>
      </c>
      <c r="S24" s="23" t="s">
        <v>44</v>
      </c>
    </row>
    <row r="25" spans="1:19" x14ac:dyDescent="0.25">
      <c r="A25" s="4"/>
      <c r="B25" s="8"/>
      <c r="C25" s="7"/>
      <c r="D25" s="459"/>
      <c r="E25" s="7"/>
      <c r="F25" s="8"/>
      <c r="G25" s="455"/>
      <c r="H25" s="298" t="s">
        <v>273</v>
      </c>
      <c r="I25" s="449">
        <v>1</v>
      </c>
      <c r="J25" s="449">
        <v>1</v>
      </c>
      <c r="K25" s="25" t="s">
        <v>68</v>
      </c>
      <c r="L25" s="36" t="s">
        <v>38</v>
      </c>
      <c r="M25" s="33" t="s">
        <v>54</v>
      </c>
      <c r="N25" s="33">
        <v>32</v>
      </c>
      <c r="O25" s="33">
        <f t="shared" si="0"/>
        <v>32</v>
      </c>
      <c r="P25" s="34">
        <f t="shared" si="0"/>
        <v>32</v>
      </c>
      <c r="Q25" s="23">
        <v>32</v>
      </c>
      <c r="R25" s="23" t="s">
        <v>528</v>
      </c>
      <c r="S25" s="23" t="s">
        <v>44</v>
      </c>
    </row>
    <row r="26" spans="1:19" x14ac:dyDescent="0.25">
      <c r="A26" s="4"/>
      <c r="B26" s="8"/>
      <c r="C26" s="7"/>
      <c r="D26" s="460"/>
      <c r="E26" s="7"/>
      <c r="F26" s="8"/>
      <c r="G26" s="457"/>
      <c r="H26" s="299"/>
      <c r="I26" s="451"/>
      <c r="J26" s="451"/>
      <c r="K26" s="25" t="s">
        <v>69</v>
      </c>
      <c r="L26" s="36" t="s">
        <v>90</v>
      </c>
      <c r="M26" s="33" t="s">
        <v>42</v>
      </c>
      <c r="N26" s="33">
        <v>32</v>
      </c>
      <c r="O26" s="33">
        <f t="shared" si="0"/>
        <v>32</v>
      </c>
      <c r="P26" s="34">
        <f t="shared" si="0"/>
        <v>32</v>
      </c>
      <c r="Q26" s="23">
        <v>32</v>
      </c>
      <c r="R26" s="23" t="s">
        <v>528</v>
      </c>
      <c r="S26" s="23" t="s">
        <v>44</v>
      </c>
    </row>
  </sheetData>
  <mergeCells count="14">
    <mergeCell ref="A6:B6"/>
    <mergeCell ref="D8:D26"/>
    <mergeCell ref="J8:J13"/>
    <mergeCell ref="I8:I13"/>
    <mergeCell ref="H8:H13"/>
    <mergeCell ref="G8:G13"/>
    <mergeCell ref="J16:J17"/>
    <mergeCell ref="G16:G17"/>
    <mergeCell ref="H16:H17"/>
    <mergeCell ref="I16:I17"/>
    <mergeCell ref="J25:J26"/>
    <mergeCell ref="G25:G26"/>
    <mergeCell ref="H25:H26"/>
    <mergeCell ref="I25:I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S45"/>
  <sheetViews>
    <sheetView view="pageLayout" topLeftCell="A31" zoomScale="160" zoomScaleNormal="100" zoomScalePageLayoutView="160" workbookViewId="0">
      <selection activeCell="I38" sqref="I3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7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7" width="5.140625" customWidth="1"/>
    <col min="18" max="18" width="3.8554687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1</v>
      </c>
      <c r="C8" s="9"/>
      <c r="D8" s="461" t="s">
        <v>113</v>
      </c>
      <c r="E8" s="7"/>
      <c r="F8" s="8"/>
      <c r="G8" s="455"/>
      <c r="H8" s="298" t="s">
        <v>88</v>
      </c>
      <c r="I8" s="449">
        <v>1</v>
      </c>
      <c r="J8" s="449">
        <v>1</v>
      </c>
      <c r="K8" s="25" t="s">
        <v>19</v>
      </c>
      <c r="L8" s="22" t="s">
        <v>87</v>
      </c>
      <c r="M8" s="26" t="s">
        <v>109</v>
      </c>
      <c r="N8" s="24">
        <v>3</v>
      </c>
      <c r="O8" s="24">
        <v>3</v>
      </c>
      <c r="P8" s="23">
        <v>3</v>
      </c>
      <c r="Q8" s="23">
        <v>8.5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462"/>
      <c r="E9" s="7"/>
      <c r="F9" s="8"/>
      <c r="G9" s="456"/>
      <c r="H9" s="452"/>
      <c r="I9" s="450"/>
      <c r="J9" s="450"/>
      <c r="K9" s="25" t="s">
        <v>21</v>
      </c>
      <c r="L9" s="22" t="s">
        <v>88</v>
      </c>
      <c r="M9" s="26" t="s">
        <v>89</v>
      </c>
      <c r="N9" s="24">
        <v>3</v>
      </c>
      <c r="O9" s="24">
        <v>3</v>
      </c>
      <c r="P9" s="23">
        <f>N9*1</f>
        <v>3</v>
      </c>
      <c r="Q9" s="23">
        <v>2.5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462"/>
      <c r="E10" s="8"/>
      <c r="F10" s="8"/>
      <c r="G10" s="456"/>
      <c r="H10" s="452"/>
      <c r="I10" s="450"/>
      <c r="J10" s="450"/>
      <c r="K10" s="25" t="s">
        <v>23</v>
      </c>
      <c r="L10" s="22" t="s">
        <v>38</v>
      </c>
      <c r="M10" s="26" t="s">
        <v>86</v>
      </c>
      <c r="N10" s="24">
        <v>24</v>
      </c>
      <c r="O10" s="24">
        <f>N10*1</f>
        <v>24</v>
      </c>
      <c r="P10" s="23">
        <f>N10*1</f>
        <v>24</v>
      </c>
      <c r="Q10" s="23">
        <v>24</v>
      </c>
      <c r="R10" s="23" t="s">
        <v>528</v>
      </c>
      <c r="S10" s="23" t="s">
        <v>44</v>
      </c>
    </row>
    <row r="11" spans="1:19" ht="14.25" customHeight="1" x14ac:dyDescent="0.25">
      <c r="A11" s="4"/>
      <c r="B11" s="8"/>
      <c r="C11" s="7"/>
      <c r="D11" s="462"/>
      <c r="E11" s="7"/>
      <c r="F11" s="8"/>
      <c r="G11" s="457"/>
      <c r="H11" s="299"/>
      <c r="I11" s="451"/>
      <c r="J11" s="451"/>
      <c r="K11" s="25" t="s">
        <v>26</v>
      </c>
      <c r="L11" s="22" t="s">
        <v>90</v>
      </c>
      <c r="M11" s="26" t="s">
        <v>85</v>
      </c>
      <c r="N11" s="24">
        <v>24</v>
      </c>
      <c r="O11" s="24">
        <f>N11*1</f>
        <v>24</v>
      </c>
      <c r="P11" s="23">
        <f>N11*1</f>
        <v>24</v>
      </c>
      <c r="Q11" s="23">
        <v>24</v>
      </c>
      <c r="R11" s="23" t="s">
        <v>528</v>
      </c>
      <c r="S11" s="23" t="s">
        <v>44</v>
      </c>
    </row>
    <row r="12" spans="1:19" ht="14.25" customHeight="1" x14ac:dyDescent="0.25">
      <c r="A12" s="4"/>
      <c r="B12" s="8"/>
      <c r="C12" s="7"/>
      <c r="D12" s="462"/>
      <c r="E12" s="7"/>
      <c r="F12" s="8"/>
      <c r="G12" s="455"/>
      <c r="H12" s="298" t="s">
        <v>91</v>
      </c>
      <c r="I12" s="449">
        <v>1</v>
      </c>
      <c r="J12" s="449">
        <v>1</v>
      </c>
      <c r="K12" s="25" t="s">
        <v>29</v>
      </c>
      <c r="L12" s="22" t="s">
        <v>92</v>
      </c>
      <c r="M12" s="26" t="s">
        <v>110</v>
      </c>
      <c r="N12" s="24">
        <v>4</v>
      </c>
      <c r="O12" s="24">
        <v>4</v>
      </c>
      <c r="P12" s="23">
        <v>4</v>
      </c>
      <c r="Q12" s="23">
        <v>9.5</v>
      </c>
      <c r="R12" s="23" t="s">
        <v>506</v>
      </c>
      <c r="S12" s="23" t="s">
        <v>44</v>
      </c>
    </row>
    <row r="13" spans="1:19" ht="14.25" customHeight="1" x14ac:dyDescent="0.25">
      <c r="A13" s="4"/>
      <c r="B13" s="8"/>
      <c r="C13" s="7"/>
      <c r="D13" s="462"/>
      <c r="E13" s="7"/>
      <c r="F13" s="8"/>
      <c r="G13" s="457"/>
      <c r="H13" s="299"/>
      <c r="I13" s="451"/>
      <c r="J13" s="451"/>
      <c r="K13" s="25" t="s">
        <v>32</v>
      </c>
      <c r="L13" s="22" t="s">
        <v>93</v>
      </c>
      <c r="M13" s="26" t="s">
        <v>94</v>
      </c>
      <c r="N13" s="24">
        <v>16</v>
      </c>
      <c r="O13" s="24">
        <v>16</v>
      </c>
      <c r="P13" s="23">
        <v>16</v>
      </c>
      <c r="Q13" s="23">
        <v>4</v>
      </c>
      <c r="R13" s="23" t="s">
        <v>506</v>
      </c>
      <c r="S13" s="23" t="s">
        <v>44</v>
      </c>
    </row>
    <row r="14" spans="1:19" ht="14.25" customHeight="1" x14ac:dyDescent="0.25">
      <c r="A14" s="4"/>
      <c r="B14" s="8"/>
      <c r="C14" s="7"/>
      <c r="D14" s="462"/>
      <c r="E14" s="7"/>
      <c r="F14" s="8"/>
      <c r="G14" s="10"/>
      <c r="H14" s="18"/>
      <c r="I14" s="19"/>
      <c r="J14" s="19"/>
      <c r="K14" s="25" t="s">
        <v>35</v>
      </c>
      <c r="L14" s="22" t="s">
        <v>95</v>
      </c>
      <c r="M14" s="26" t="s">
        <v>111</v>
      </c>
      <c r="N14" s="24">
        <v>2</v>
      </c>
      <c r="O14" s="24">
        <f>N14*1</f>
        <v>2</v>
      </c>
      <c r="P14" s="23">
        <f t="shared" ref="P14:P25" si="0">N14*1</f>
        <v>2</v>
      </c>
      <c r="Q14" s="23">
        <v>8</v>
      </c>
      <c r="R14" s="23" t="s">
        <v>506</v>
      </c>
      <c r="S14" s="23" t="s">
        <v>44</v>
      </c>
    </row>
    <row r="15" spans="1:19" ht="14.25" customHeight="1" x14ac:dyDescent="0.25">
      <c r="A15" s="4"/>
      <c r="B15" s="8"/>
      <c r="C15" s="7"/>
      <c r="D15" s="462"/>
      <c r="E15" s="7"/>
      <c r="F15" s="8"/>
      <c r="G15" s="10"/>
      <c r="H15" s="18"/>
      <c r="I15" s="19"/>
      <c r="J15" s="19"/>
      <c r="K15" s="25" t="s">
        <v>37</v>
      </c>
      <c r="L15" s="22" t="s">
        <v>96</v>
      </c>
      <c r="M15" s="24" t="s">
        <v>112</v>
      </c>
      <c r="N15" s="24">
        <v>4</v>
      </c>
      <c r="O15" s="24">
        <v>4</v>
      </c>
      <c r="P15" s="23">
        <f t="shared" si="0"/>
        <v>4</v>
      </c>
      <c r="Q15" s="23">
        <v>9</v>
      </c>
      <c r="R15" s="23" t="s">
        <v>506</v>
      </c>
      <c r="S15" s="23" t="s">
        <v>44</v>
      </c>
    </row>
    <row r="16" spans="1:19" ht="14.25" customHeight="1" x14ac:dyDescent="0.25">
      <c r="A16" s="4"/>
      <c r="B16" s="8"/>
      <c r="C16" s="7"/>
      <c r="D16" s="462"/>
      <c r="E16" s="7"/>
      <c r="F16" s="8"/>
      <c r="G16" s="10"/>
      <c r="H16" s="18"/>
      <c r="I16" s="19"/>
      <c r="J16" s="19"/>
      <c r="K16" s="25" t="s">
        <v>40</v>
      </c>
      <c r="L16" s="22" t="s">
        <v>38</v>
      </c>
      <c r="M16" s="24" t="s">
        <v>97</v>
      </c>
      <c r="N16" s="24">
        <v>35</v>
      </c>
      <c r="O16" s="24">
        <f t="shared" ref="O16:O25" si="1">N16*1</f>
        <v>35</v>
      </c>
      <c r="P16" s="23">
        <f t="shared" si="0"/>
        <v>35</v>
      </c>
      <c r="Q16" s="23">
        <v>35</v>
      </c>
      <c r="R16" s="23" t="s">
        <v>528</v>
      </c>
      <c r="S16" s="23" t="s">
        <v>44</v>
      </c>
    </row>
    <row r="17" spans="1:19" ht="14.25" customHeight="1" x14ac:dyDescent="0.25">
      <c r="A17" s="4"/>
      <c r="B17" s="8"/>
      <c r="C17" s="7"/>
      <c r="D17" s="462"/>
      <c r="E17" s="7"/>
      <c r="F17" s="8"/>
      <c r="G17" s="10"/>
      <c r="H17" s="18"/>
      <c r="I17" s="19"/>
      <c r="J17" s="19"/>
      <c r="K17" s="25" t="s">
        <v>51</v>
      </c>
      <c r="L17" s="22" t="s">
        <v>90</v>
      </c>
      <c r="M17" s="24" t="s">
        <v>42</v>
      </c>
      <c r="N17" s="24">
        <v>35</v>
      </c>
      <c r="O17" s="24">
        <f t="shared" si="1"/>
        <v>35</v>
      </c>
      <c r="P17" s="23">
        <f t="shared" si="0"/>
        <v>35</v>
      </c>
      <c r="Q17" s="23">
        <v>35</v>
      </c>
      <c r="R17" s="23" t="s">
        <v>528</v>
      </c>
      <c r="S17" s="23" t="s">
        <v>44</v>
      </c>
    </row>
    <row r="18" spans="1:19" ht="14.25" customHeight="1" x14ac:dyDescent="0.25">
      <c r="A18" s="4"/>
      <c r="B18" s="8"/>
      <c r="C18" s="7"/>
      <c r="D18" s="462"/>
      <c r="E18" s="7"/>
      <c r="F18" s="8"/>
      <c r="G18" s="10"/>
      <c r="H18" s="18"/>
      <c r="I18" s="19"/>
      <c r="J18" s="19"/>
      <c r="K18" s="25" t="s">
        <v>52</v>
      </c>
      <c r="L18" s="22" t="s">
        <v>98</v>
      </c>
      <c r="M18" s="24" t="s">
        <v>76</v>
      </c>
      <c r="N18" s="24">
        <v>1</v>
      </c>
      <c r="O18" s="24">
        <f t="shared" si="1"/>
        <v>1</v>
      </c>
      <c r="P18" s="23">
        <f t="shared" si="0"/>
        <v>1</v>
      </c>
      <c r="Q18" s="23">
        <v>1</v>
      </c>
      <c r="R18" s="23" t="s">
        <v>528</v>
      </c>
      <c r="S18" s="23" t="s">
        <v>44</v>
      </c>
    </row>
    <row r="19" spans="1:19" ht="14.25" customHeight="1" x14ac:dyDescent="0.25">
      <c r="A19" s="4"/>
      <c r="B19" s="8"/>
      <c r="C19" s="7"/>
      <c r="D19" s="462"/>
      <c r="E19" s="7"/>
      <c r="F19" s="8"/>
      <c r="G19" s="10"/>
      <c r="H19" s="18"/>
      <c r="I19" s="19"/>
      <c r="J19" s="19"/>
      <c r="K19" s="25" t="s">
        <v>53</v>
      </c>
      <c r="L19" s="22" t="s">
        <v>38</v>
      </c>
      <c r="M19" s="23" t="s">
        <v>86</v>
      </c>
      <c r="N19" s="23">
        <v>64</v>
      </c>
      <c r="O19" s="23">
        <f t="shared" si="1"/>
        <v>64</v>
      </c>
      <c r="P19" s="23">
        <f t="shared" si="0"/>
        <v>64</v>
      </c>
      <c r="Q19" s="23">
        <v>64</v>
      </c>
      <c r="R19" s="23" t="s">
        <v>528</v>
      </c>
      <c r="S19" s="23" t="s">
        <v>44</v>
      </c>
    </row>
    <row r="20" spans="1:19" ht="14.25" customHeight="1" x14ac:dyDescent="0.25">
      <c r="A20" s="4"/>
      <c r="B20" s="8"/>
      <c r="C20" s="7"/>
      <c r="D20" s="462"/>
      <c r="E20" s="7"/>
      <c r="F20" s="8"/>
      <c r="G20" s="10"/>
      <c r="H20" s="18"/>
      <c r="I20" s="19"/>
      <c r="J20" s="19"/>
      <c r="K20" s="25" t="s">
        <v>57</v>
      </c>
      <c r="L20" s="22" t="s">
        <v>99</v>
      </c>
      <c r="M20" s="23" t="s">
        <v>85</v>
      </c>
      <c r="N20" s="23">
        <v>64</v>
      </c>
      <c r="O20" s="23">
        <f t="shared" si="1"/>
        <v>64</v>
      </c>
      <c r="P20" s="23">
        <f t="shared" si="0"/>
        <v>64</v>
      </c>
      <c r="Q20" s="23">
        <v>64</v>
      </c>
      <c r="R20" s="23" t="s">
        <v>528</v>
      </c>
      <c r="S20" s="23" t="s">
        <v>44</v>
      </c>
    </row>
    <row r="21" spans="1:19" ht="14.25" customHeight="1" x14ac:dyDescent="0.25">
      <c r="A21" s="4"/>
      <c r="B21" s="8"/>
      <c r="C21" s="7"/>
      <c r="D21" s="462"/>
      <c r="E21" s="7"/>
      <c r="F21" s="8"/>
      <c r="G21" s="10"/>
      <c r="H21" s="18"/>
      <c r="I21" s="19"/>
      <c r="J21" s="19"/>
      <c r="K21" s="25" t="s">
        <v>58</v>
      </c>
      <c r="L21" s="22" t="s">
        <v>38</v>
      </c>
      <c r="M21" s="23" t="s">
        <v>100</v>
      </c>
      <c r="N21" s="23">
        <v>20</v>
      </c>
      <c r="O21" s="23">
        <f t="shared" si="1"/>
        <v>20</v>
      </c>
      <c r="P21" s="23">
        <f t="shared" si="0"/>
        <v>20</v>
      </c>
      <c r="Q21" s="23">
        <v>20</v>
      </c>
      <c r="R21" s="23" t="s">
        <v>528</v>
      </c>
      <c r="S21" s="23" t="s">
        <v>44</v>
      </c>
    </row>
    <row r="22" spans="1:19" x14ac:dyDescent="0.25">
      <c r="A22" s="4"/>
      <c r="B22" s="8"/>
      <c r="C22" s="7"/>
      <c r="D22" s="462"/>
      <c r="E22" s="7"/>
      <c r="F22" s="8"/>
      <c r="G22" s="10"/>
      <c r="H22" s="18"/>
      <c r="I22" s="19"/>
      <c r="J22" s="19"/>
      <c r="K22" s="25" t="s">
        <v>65</v>
      </c>
      <c r="L22" s="22" t="s">
        <v>38</v>
      </c>
      <c r="M22" s="23" t="s">
        <v>97</v>
      </c>
      <c r="N22" s="23">
        <v>35</v>
      </c>
      <c r="O22" s="23">
        <f t="shared" si="1"/>
        <v>35</v>
      </c>
      <c r="P22" s="23">
        <f t="shared" si="0"/>
        <v>35</v>
      </c>
      <c r="Q22" s="23">
        <v>35</v>
      </c>
      <c r="R22" s="23" t="s">
        <v>528</v>
      </c>
      <c r="S22" s="23" t="s">
        <v>44</v>
      </c>
    </row>
    <row r="23" spans="1:19" x14ac:dyDescent="0.25">
      <c r="A23" s="4"/>
      <c r="B23" s="8"/>
      <c r="C23" s="7"/>
      <c r="D23" s="462"/>
      <c r="E23" s="7"/>
      <c r="F23" s="8"/>
      <c r="G23" s="10"/>
      <c r="H23" s="18"/>
      <c r="I23" s="19"/>
      <c r="J23" s="19"/>
      <c r="K23" s="25" t="s">
        <v>66</v>
      </c>
      <c r="L23" s="22" t="s">
        <v>99</v>
      </c>
      <c r="M23" s="23" t="s">
        <v>42</v>
      </c>
      <c r="N23" s="23">
        <v>35</v>
      </c>
      <c r="O23" s="23">
        <f t="shared" si="1"/>
        <v>35</v>
      </c>
      <c r="P23" s="23">
        <f t="shared" si="0"/>
        <v>35</v>
      </c>
      <c r="Q23" s="23">
        <v>35</v>
      </c>
      <c r="R23" s="23" t="s">
        <v>528</v>
      </c>
      <c r="S23" s="23" t="s">
        <v>44</v>
      </c>
    </row>
    <row r="24" spans="1:19" x14ac:dyDescent="0.25">
      <c r="A24" s="4"/>
      <c r="B24" s="8"/>
      <c r="C24" s="7"/>
      <c r="D24" s="462"/>
      <c r="E24" s="7"/>
      <c r="F24" s="8"/>
      <c r="G24" s="10"/>
      <c r="H24" s="18"/>
      <c r="I24" s="19"/>
      <c r="J24" s="19"/>
      <c r="K24" s="25" t="s">
        <v>67</v>
      </c>
      <c r="L24" s="22" t="s">
        <v>101</v>
      </c>
      <c r="M24" s="23" t="s">
        <v>25</v>
      </c>
      <c r="N24" s="23">
        <v>30</v>
      </c>
      <c r="O24" s="23">
        <f t="shared" si="1"/>
        <v>30</v>
      </c>
      <c r="P24" s="23">
        <f t="shared" si="0"/>
        <v>30</v>
      </c>
      <c r="Q24" s="23">
        <v>30</v>
      </c>
      <c r="R24" s="23" t="s">
        <v>528</v>
      </c>
      <c r="S24" s="23" t="s">
        <v>44</v>
      </c>
    </row>
    <row r="25" spans="1:19" x14ac:dyDescent="0.25">
      <c r="A25" s="4"/>
      <c r="B25" s="8"/>
      <c r="C25" s="7"/>
      <c r="D25" s="463"/>
      <c r="E25" s="7"/>
      <c r="F25" s="8"/>
      <c r="G25" s="10"/>
      <c r="H25" s="18"/>
      <c r="I25" s="19"/>
      <c r="J25" s="19"/>
      <c r="K25" s="25" t="s">
        <v>68</v>
      </c>
      <c r="L25" s="22" t="s">
        <v>84</v>
      </c>
      <c r="M25" s="23" t="s">
        <v>102</v>
      </c>
      <c r="N25" s="23">
        <v>30</v>
      </c>
      <c r="O25" s="23">
        <f t="shared" si="1"/>
        <v>30</v>
      </c>
      <c r="P25" s="23">
        <f t="shared" si="0"/>
        <v>30</v>
      </c>
      <c r="Q25" s="23">
        <v>30</v>
      </c>
      <c r="R25" s="23" t="s">
        <v>528</v>
      </c>
      <c r="S25" s="23" t="s">
        <v>44</v>
      </c>
    </row>
    <row r="38" spans="1:19" ht="19.5" x14ac:dyDescent="0.25">
      <c r="A38" s="284" t="s">
        <v>0</v>
      </c>
      <c r="B38" s="285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21"/>
      <c r="R38" s="21"/>
      <c r="S38" s="17" t="s">
        <v>15</v>
      </c>
    </row>
    <row r="39" spans="1:19" ht="60" x14ac:dyDescent="0.25">
      <c r="A39" s="29" t="s">
        <v>2</v>
      </c>
      <c r="B39" s="30" t="s">
        <v>3</v>
      </c>
      <c r="C39" s="30" t="s">
        <v>4</v>
      </c>
      <c r="D39" s="31" t="s">
        <v>5</v>
      </c>
      <c r="E39" s="30" t="s">
        <v>6</v>
      </c>
      <c r="F39" s="30" t="s">
        <v>3</v>
      </c>
      <c r="G39" s="30" t="s">
        <v>10</v>
      </c>
      <c r="H39" s="30" t="s">
        <v>5</v>
      </c>
      <c r="I39" s="30" t="s">
        <v>12</v>
      </c>
      <c r="J39" s="30" t="s">
        <v>11</v>
      </c>
      <c r="K39" s="32" t="s">
        <v>7</v>
      </c>
      <c r="L39" s="31" t="s">
        <v>5</v>
      </c>
      <c r="M39" s="31" t="s">
        <v>9</v>
      </c>
      <c r="N39" s="30" t="s">
        <v>8</v>
      </c>
      <c r="O39" s="30" t="s">
        <v>6</v>
      </c>
      <c r="P39" s="30" t="s">
        <v>3</v>
      </c>
      <c r="Q39" s="30" t="s">
        <v>17</v>
      </c>
      <c r="R39" s="30" t="s">
        <v>18</v>
      </c>
      <c r="S39" s="31" t="s">
        <v>16</v>
      </c>
    </row>
    <row r="40" spans="1:19" x14ac:dyDescent="0.25">
      <c r="A40" s="9"/>
      <c r="B40" s="24">
        <v>1</v>
      </c>
      <c r="C40" s="9"/>
      <c r="D40" s="24" t="s">
        <v>113</v>
      </c>
      <c r="E40" s="7"/>
      <c r="F40" s="8"/>
      <c r="G40" s="10"/>
      <c r="H40" s="18"/>
      <c r="I40" s="19"/>
      <c r="J40" s="19"/>
      <c r="K40" s="25" t="s">
        <v>69</v>
      </c>
      <c r="L40" s="28" t="s">
        <v>103</v>
      </c>
      <c r="M40" s="33" t="s">
        <v>114</v>
      </c>
      <c r="N40" s="33">
        <v>115</v>
      </c>
      <c r="O40" s="33">
        <f t="shared" ref="O40:O45" si="2">N40*1</f>
        <v>115</v>
      </c>
      <c r="P40" s="34">
        <f t="shared" ref="P40:P45" si="3">N40*1</f>
        <v>115</v>
      </c>
      <c r="Q40" s="23">
        <v>115</v>
      </c>
      <c r="R40" s="23" t="s">
        <v>528</v>
      </c>
      <c r="S40" s="23" t="s">
        <v>44</v>
      </c>
    </row>
    <row r="41" spans="1:19" x14ac:dyDescent="0.25">
      <c r="A41" s="4"/>
      <c r="B41" s="8"/>
      <c r="C41" s="7"/>
      <c r="D41" s="7"/>
      <c r="E41" s="7"/>
      <c r="F41" s="8"/>
      <c r="G41" s="10"/>
      <c r="H41" s="18"/>
      <c r="I41" s="19"/>
      <c r="J41" s="19"/>
      <c r="K41" s="25" t="s">
        <v>70</v>
      </c>
      <c r="L41" s="7" t="s">
        <v>104</v>
      </c>
      <c r="M41" s="24" t="s">
        <v>44</v>
      </c>
      <c r="N41" s="33">
        <v>96</v>
      </c>
      <c r="O41" s="24">
        <f t="shared" si="2"/>
        <v>96</v>
      </c>
      <c r="P41" s="23">
        <f t="shared" si="3"/>
        <v>96</v>
      </c>
      <c r="Q41" s="23">
        <v>96</v>
      </c>
      <c r="R41" s="23" t="s">
        <v>528</v>
      </c>
      <c r="S41" s="23" t="s">
        <v>44</v>
      </c>
    </row>
    <row r="42" spans="1:19" x14ac:dyDescent="0.25">
      <c r="A42" s="8"/>
      <c r="B42" s="8"/>
      <c r="C42" s="8"/>
      <c r="D42" s="8"/>
      <c r="E42" s="8"/>
      <c r="F42" s="8"/>
      <c r="G42" s="10"/>
      <c r="H42" s="18"/>
      <c r="I42" s="19"/>
      <c r="J42" s="19"/>
      <c r="K42" s="25" t="s">
        <v>77</v>
      </c>
      <c r="L42" s="7" t="s">
        <v>90</v>
      </c>
      <c r="M42" s="24" t="s">
        <v>105</v>
      </c>
      <c r="N42" s="33">
        <v>96</v>
      </c>
      <c r="O42" s="24">
        <f t="shared" si="2"/>
        <v>96</v>
      </c>
      <c r="P42" s="23">
        <f t="shared" si="3"/>
        <v>96</v>
      </c>
      <c r="Q42" s="23">
        <v>96</v>
      </c>
      <c r="R42" s="23" t="s">
        <v>528</v>
      </c>
      <c r="S42" s="23" t="s">
        <v>44</v>
      </c>
    </row>
    <row r="43" spans="1:19" x14ac:dyDescent="0.25">
      <c r="A43" s="4"/>
      <c r="B43" s="8"/>
      <c r="C43" s="7"/>
      <c r="D43" s="7"/>
      <c r="E43" s="7"/>
      <c r="F43" s="8"/>
      <c r="G43" s="10"/>
      <c r="H43" s="18"/>
      <c r="I43" s="19"/>
      <c r="J43" s="19"/>
      <c r="K43" s="25" t="s">
        <v>78</v>
      </c>
      <c r="L43" s="7" t="s">
        <v>106</v>
      </c>
      <c r="M43" s="24">
        <v>304</v>
      </c>
      <c r="N43" s="33">
        <v>96</v>
      </c>
      <c r="O43" s="24">
        <f t="shared" si="2"/>
        <v>96</v>
      </c>
      <c r="P43" s="23">
        <f t="shared" si="3"/>
        <v>96</v>
      </c>
      <c r="Q43" s="23">
        <v>96</v>
      </c>
      <c r="R43" s="23" t="s">
        <v>528</v>
      </c>
      <c r="S43" s="23" t="s">
        <v>44</v>
      </c>
    </row>
    <row r="44" spans="1:19" x14ac:dyDescent="0.25">
      <c r="A44" s="4"/>
      <c r="B44" s="8"/>
      <c r="C44" s="7"/>
      <c r="D44" s="7"/>
      <c r="E44" s="7"/>
      <c r="F44" s="8"/>
      <c r="G44" s="10"/>
      <c r="H44" s="18"/>
      <c r="I44" s="19"/>
      <c r="J44" s="19"/>
      <c r="K44" s="25" t="s">
        <v>79</v>
      </c>
      <c r="L44" s="7" t="s">
        <v>107</v>
      </c>
      <c r="M44" s="24" t="s">
        <v>44</v>
      </c>
      <c r="N44" s="33">
        <v>1272</v>
      </c>
      <c r="O44" s="24">
        <f t="shared" si="2"/>
        <v>1272</v>
      </c>
      <c r="P44" s="23">
        <f t="shared" si="3"/>
        <v>1272</v>
      </c>
      <c r="Q44" s="23">
        <v>1272</v>
      </c>
      <c r="R44" s="23" t="s">
        <v>528</v>
      </c>
      <c r="S44" s="23" t="s">
        <v>44</v>
      </c>
    </row>
    <row r="45" spans="1:19" x14ac:dyDescent="0.25">
      <c r="A45" s="4"/>
      <c r="B45" s="8"/>
      <c r="C45" s="7"/>
      <c r="D45" s="7"/>
      <c r="E45" s="7"/>
      <c r="F45" s="8"/>
      <c r="G45" s="10"/>
      <c r="H45" s="18"/>
      <c r="I45" s="19"/>
      <c r="J45" s="19"/>
      <c r="K45" s="25" t="s">
        <v>80</v>
      </c>
      <c r="L45" s="7" t="s">
        <v>108</v>
      </c>
      <c r="M45" s="24" t="s">
        <v>44</v>
      </c>
      <c r="N45" s="33">
        <v>108</v>
      </c>
      <c r="O45" s="24">
        <f t="shared" si="2"/>
        <v>108</v>
      </c>
      <c r="P45" s="23">
        <f t="shared" si="3"/>
        <v>108</v>
      </c>
      <c r="Q45" s="23">
        <v>108</v>
      </c>
      <c r="R45" s="23" t="s">
        <v>528</v>
      </c>
      <c r="S45" s="23" t="s">
        <v>44</v>
      </c>
    </row>
  </sheetData>
  <mergeCells count="11">
    <mergeCell ref="A6:B6"/>
    <mergeCell ref="A38:B38"/>
    <mergeCell ref="J8:J11"/>
    <mergeCell ref="I8:I11"/>
    <mergeCell ref="H8:H11"/>
    <mergeCell ref="G8:G11"/>
    <mergeCell ref="J12:J13"/>
    <mergeCell ref="G12:G13"/>
    <mergeCell ref="H12:H13"/>
    <mergeCell ref="I12:I13"/>
    <mergeCell ref="D8:D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S22"/>
  <sheetViews>
    <sheetView view="pageLayout" topLeftCell="C1" zoomScale="160" zoomScaleNormal="100" zoomScalePageLayoutView="160" workbookViewId="0">
      <selection activeCell="F6" sqref="F6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1</v>
      </c>
      <c r="C8" s="9"/>
      <c r="D8" s="24" t="s">
        <v>43</v>
      </c>
      <c r="E8" s="7"/>
      <c r="F8" s="8"/>
      <c r="G8" s="10"/>
      <c r="H8" s="18"/>
      <c r="I8" s="19"/>
      <c r="J8" s="19"/>
      <c r="K8" s="25" t="s">
        <v>19</v>
      </c>
      <c r="L8" s="22" t="s">
        <v>20</v>
      </c>
      <c r="M8" s="24" t="s">
        <v>678</v>
      </c>
      <c r="N8" s="24">
        <v>2</v>
      </c>
      <c r="O8" s="24">
        <v>2</v>
      </c>
      <c r="P8" s="23">
        <v>2</v>
      </c>
      <c r="Q8" s="23">
        <v>5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10"/>
      <c r="H9" s="18"/>
      <c r="I9" s="19"/>
      <c r="J9" s="19"/>
      <c r="K9" s="25" t="s">
        <v>21</v>
      </c>
      <c r="L9" s="22" t="s">
        <v>22</v>
      </c>
      <c r="M9" s="24" t="s">
        <v>679</v>
      </c>
      <c r="N9" s="24">
        <v>6</v>
      </c>
      <c r="O9" s="24">
        <v>6</v>
      </c>
      <c r="P9" s="23">
        <v>6</v>
      </c>
      <c r="Q9" s="23">
        <v>12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10"/>
      <c r="H10" s="18"/>
      <c r="I10" s="19"/>
      <c r="J10" s="19"/>
      <c r="K10" s="25" t="s">
        <v>23</v>
      </c>
      <c r="L10" s="22" t="s">
        <v>24</v>
      </c>
      <c r="M10" s="24" t="s">
        <v>25</v>
      </c>
      <c r="N10" s="24">
        <v>30</v>
      </c>
      <c r="O10" s="24">
        <v>30</v>
      </c>
      <c r="P10" s="23">
        <v>30</v>
      </c>
      <c r="Q10" s="23">
        <v>30</v>
      </c>
      <c r="R10" s="23" t="s">
        <v>528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10"/>
      <c r="H11" s="18"/>
      <c r="I11" s="19"/>
      <c r="J11" s="19"/>
      <c r="K11" s="25" t="s">
        <v>26</v>
      </c>
      <c r="L11" s="22" t="s">
        <v>27</v>
      </c>
      <c r="M11" s="24" t="s">
        <v>28</v>
      </c>
      <c r="N11" s="24">
        <v>30</v>
      </c>
      <c r="O11" s="24">
        <v>30</v>
      </c>
      <c r="P11" s="23">
        <v>30</v>
      </c>
      <c r="Q11" s="23">
        <v>30</v>
      </c>
      <c r="R11" s="23" t="s">
        <v>528</v>
      </c>
      <c r="S11" s="23" t="s">
        <v>44</v>
      </c>
    </row>
    <row r="12" spans="1:19" ht="14.25" customHeight="1" x14ac:dyDescent="0.25">
      <c r="A12" s="4"/>
      <c r="B12" s="8"/>
      <c r="C12" s="7"/>
      <c r="D12" s="7"/>
      <c r="E12" s="7"/>
      <c r="F12" s="8"/>
      <c r="G12" s="10"/>
      <c r="H12" s="18"/>
      <c r="I12" s="19"/>
      <c r="J12" s="19"/>
      <c r="K12" s="25" t="s">
        <v>29</v>
      </c>
      <c r="L12" s="22" t="s">
        <v>30</v>
      </c>
      <c r="M12" s="24" t="s">
        <v>31</v>
      </c>
      <c r="N12" s="24">
        <v>36</v>
      </c>
      <c r="O12" s="24">
        <v>36</v>
      </c>
      <c r="P12" s="23">
        <v>36</v>
      </c>
      <c r="Q12" s="23">
        <v>36</v>
      </c>
      <c r="R12" s="23" t="s">
        <v>528</v>
      </c>
      <c r="S12" s="23" t="s">
        <v>44</v>
      </c>
    </row>
    <row r="13" spans="1:19" ht="14.25" customHeight="1" x14ac:dyDescent="0.25">
      <c r="A13" s="4"/>
      <c r="B13" s="8"/>
      <c r="C13" s="7"/>
      <c r="D13" s="7"/>
      <c r="E13" s="7"/>
      <c r="F13" s="8"/>
      <c r="G13" s="10"/>
      <c r="H13" s="18"/>
      <c r="I13" s="19"/>
      <c r="J13" s="19"/>
      <c r="K13" s="25" t="s">
        <v>32</v>
      </c>
      <c r="L13" s="22" t="s">
        <v>33</v>
      </c>
      <c r="M13" s="26" t="s">
        <v>34</v>
      </c>
      <c r="N13" s="24">
        <v>36</v>
      </c>
      <c r="O13" s="24">
        <v>36</v>
      </c>
      <c r="P13" s="23">
        <v>36</v>
      </c>
      <c r="Q13" s="23">
        <v>36</v>
      </c>
      <c r="R13" s="23" t="s">
        <v>528</v>
      </c>
      <c r="S13" s="23" t="s">
        <v>44</v>
      </c>
    </row>
    <row r="14" spans="1:19" ht="14.25" customHeight="1" x14ac:dyDescent="0.25">
      <c r="A14" s="4"/>
      <c r="B14" s="8"/>
      <c r="C14" s="7"/>
      <c r="D14" s="7"/>
      <c r="E14" s="7"/>
      <c r="F14" s="8"/>
      <c r="G14" s="10"/>
      <c r="H14" s="18"/>
      <c r="I14" s="19"/>
      <c r="J14" s="19"/>
      <c r="K14" s="25" t="s">
        <v>35</v>
      </c>
      <c r="L14" s="22" t="s">
        <v>36</v>
      </c>
      <c r="M14" s="26" t="s">
        <v>34</v>
      </c>
      <c r="N14" s="24">
        <v>36</v>
      </c>
      <c r="O14" s="24">
        <v>36</v>
      </c>
      <c r="P14" s="23">
        <v>36</v>
      </c>
      <c r="Q14" s="23">
        <v>36</v>
      </c>
      <c r="R14" s="23" t="s">
        <v>528</v>
      </c>
      <c r="S14" s="23" t="s">
        <v>44</v>
      </c>
    </row>
    <row r="15" spans="1:19" ht="14.25" customHeight="1" x14ac:dyDescent="0.25">
      <c r="A15" s="4"/>
      <c r="B15" s="8"/>
      <c r="C15" s="7"/>
      <c r="D15" s="7"/>
      <c r="E15" s="7"/>
      <c r="F15" s="8"/>
      <c r="G15" s="10"/>
      <c r="H15" s="18"/>
      <c r="I15" s="19"/>
      <c r="J15" s="19"/>
      <c r="K15" s="25" t="s">
        <v>37</v>
      </c>
      <c r="L15" s="22" t="s">
        <v>38</v>
      </c>
      <c r="M15" s="24" t="s">
        <v>39</v>
      </c>
      <c r="N15" s="24">
        <v>36</v>
      </c>
      <c r="O15" s="24">
        <v>36</v>
      </c>
      <c r="P15" s="23">
        <v>36</v>
      </c>
      <c r="Q15" s="23">
        <v>36</v>
      </c>
      <c r="R15" s="23" t="s">
        <v>528</v>
      </c>
      <c r="S15" s="23" t="s">
        <v>44</v>
      </c>
    </row>
    <row r="16" spans="1:19" ht="14.25" customHeight="1" x14ac:dyDescent="0.25">
      <c r="A16" s="4"/>
      <c r="B16" s="8"/>
      <c r="C16" s="7"/>
      <c r="D16" s="7"/>
      <c r="E16" s="7"/>
      <c r="F16" s="8"/>
      <c r="G16" s="10"/>
      <c r="H16" s="18"/>
      <c r="I16" s="19"/>
      <c r="J16" s="19"/>
      <c r="K16" s="25" t="s">
        <v>40</v>
      </c>
      <c r="L16" s="22" t="s">
        <v>41</v>
      </c>
      <c r="M16" s="24" t="s">
        <v>42</v>
      </c>
      <c r="N16" s="24">
        <v>36</v>
      </c>
      <c r="O16" s="24">
        <v>36</v>
      </c>
      <c r="P16" s="23">
        <v>36</v>
      </c>
      <c r="Q16" s="23">
        <v>36</v>
      </c>
      <c r="R16" s="23" t="s">
        <v>528</v>
      </c>
      <c r="S16" s="23" t="s">
        <v>44</v>
      </c>
    </row>
    <row r="17" spans="1:19" ht="14.25" customHeight="1" x14ac:dyDescent="0.25">
      <c r="A17" s="4"/>
      <c r="B17" s="8"/>
      <c r="C17" s="7"/>
      <c r="D17" s="7"/>
      <c r="E17" s="7"/>
      <c r="F17" s="8"/>
      <c r="G17" s="10"/>
      <c r="H17" s="18"/>
      <c r="I17" s="19"/>
      <c r="J17" s="19"/>
      <c r="K17" s="25" t="s">
        <v>51</v>
      </c>
      <c r="L17" s="22" t="s">
        <v>59</v>
      </c>
      <c r="M17" s="24" t="s">
        <v>680</v>
      </c>
      <c r="N17" s="24">
        <v>2</v>
      </c>
      <c r="O17" s="24">
        <v>2</v>
      </c>
      <c r="P17" s="24">
        <v>2</v>
      </c>
      <c r="Q17" s="23">
        <v>1.5</v>
      </c>
      <c r="R17" s="23" t="s">
        <v>506</v>
      </c>
      <c r="S17" s="23" t="s">
        <v>44</v>
      </c>
    </row>
    <row r="18" spans="1:19" ht="14.25" customHeight="1" x14ac:dyDescent="0.25">
      <c r="A18" s="4"/>
      <c r="B18" s="8"/>
      <c r="C18" s="7"/>
      <c r="D18" s="7"/>
      <c r="E18" s="7"/>
      <c r="F18" s="8"/>
      <c r="G18" s="10"/>
      <c r="H18" s="18"/>
      <c r="I18" s="19"/>
      <c r="J18" s="19"/>
      <c r="K18" s="25" t="s">
        <v>52</v>
      </c>
      <c r="L18" s="22" t="s">
        <v>60</v>
      </c>
      <c r="M18" s="24" t="s">
        <v>681</v>
      </c>
      <c r="N18" s="24">
        <v>2</v>
      </c>
      <c r="O18" s="24">
        <v>2</v>
      </c>
      <c r="P18" s="24">
        <v>2</v>
      </c>
      <c r="Q18" s="23">
        <v>2</v>
      </c>
      <c r="R18" s="23" t="s">
        <v>506</v>
      </c>
      <c r="S18" s="23" t="s">
        <v>44</v>
      </c>
    </row>
    <row r="19" spans="1:19" ht="14.25" customHeight="1" x14ac:dyDescent="0.25">
      <c r="A19" s="4"/>
      <c r="B19" s="8"/>
      <c r="C19" s="7"/>
      <c r="D19" s="7"/>
      <c r="E19" s="7"/>
      <c r="F19" s="8"/>
      <c r="G19" s="10"/>
      <c r="H19" s="18"/>
      <c r="I19" s="19"/>
      <c r="J19" s="19"/>
      <c r="K19" s="25" t="s">
        <v>53</v>
      </c>
      <c r="L19" s="22" t="s">
        <v>61</v>
      </c>
      <c r="M19" s="24" t="s">
        <v>680</v>
      </c>
      <c r="N19" s="24">
        <v>2</v>
      </c>
      <c r="O19" s="24">
        <v>2</v>
      </c>
      <c r="P19" s="24">
        <v>2</v>
      </c>
      <c r="Q19" s="23">
        <v>1.5</v>
      </c>
      <c r="R19" s="23" t="s">
        <v>506</v>
      </c>
      <c r="S19" s="23" t="s">
        <v>44</v>
      </c>
    </row>
    <row r="20" spans="1:19" ht="14.25" customHeight="1" x14ac:dyDescent="0.25">
      <c r="A20" s="4"/>
      <c r="B20" s="8"/>
      <c r="C20" s="7"/>
      <c r="D20" s="7"/>
      <c r="E20" s="7"/>
      <c r="F20" s="8"/>
      <c r="G20" s="10"/>
      <c r="H20" s="18"/>
      <c r="I20" s="19"/>
      <c r="J20" s="19"/>
      <c r="K20" s="25" t="s">
        <v>57</v>
      </c>
      <c r="L20" s="22" t="s">
        <v>62</v>
      </c>
      <c r="M20" s="24" t="s">
        <v>681</v>
      </c>
      <c r="N20" s="24">
        <v>2</v>
      </c>
      <c r="O20" s="24">
        <v>2</v>
      </c>
      <c r="P20" s="24">
        <v>2</v>
      </c>
      <c r="Q20" s="23">
        <v>2</v>
      </c>
      <c r="R20" s="23" t="s">
        <v>506</v>
      </c>
      <c r="S20" s="23" t="s">
        <v>44</v>
      </c>
    </row>
    <row r="21" spans="1:19" ht="14.25" customHeight="1" x14ac:dyDescent="0.25">
      <c r="A21" s="4"/>
      <c r="B21" s="8"/>
      <c r="C21" s="7"/>
      <c r="D21" s="7"/>
      <c r="E21" s="7"/>
      <c r="F21" s="8"/>
      <c r="G21" s="10"/>
      <c r="H21" s="18"/>
      <c r="I21" s="19"/>
      <c r="J21" s="19"/>
      <c r="K21" s="25" t="s">
        <v>58</v>
      </c>
      <c r="L21" s="22" t="s">
        <v>63</v>
      </c>
      <c r="M21" s="24" t="s">
        <v>44</v>
      </c>
      <c r="N21" s="24">
        <v>2</v>
      </c>
      <c r="O21" s="24">
        <v>2</v>
      </c>
      <c r="P21" s="24">
        <v>2</v>
      </c>
      <c r="Q21" s="23">
        <v>2</v>
      </c>
      <c r="R21" s="23" t="s">
        <v>528</v>
      </c>
      <c r="S21" s="23" t="s">
        <v>44</v>
      </c>
    </row>
    <row r="22" spans="1:19" x14ac:dyDescent="0.25">
      <c r="I22" s="5"/>
      <c r="J22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29"/>
  <sheetViews>
    <sheetView view="pageLayout" zoomScale="115" zoomScaleNormal="100" zoomScalePageLayoutView="115" workbookViewId="0">
      <selection activeCell="C63" sqref="C63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8.5703125" customWidth="1"/>
    <col min="5" max="5" width="5.85546875" customWidth="1"/>
    <col min="6" max="6" width="5.42578125" customWidth="1"/>
    <col min="7" max="7" width="5.140625" customWidth="1"/>
    <col min="8" max="8" width="7.42578125" customWidth="1"/>
    <col min="9" max="9" width="5.5703125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7" width="4.140625" customWidth="1"/>
    <col min="18" max="18" width="4" customWidth="1"/>
    <col min="19" max="19" width="6.42578125" customWidth="1"/>
    <col min="20" max="20" width="8" customWidth="1"/>
  </cols>
  <sheetData>
    <row r="4" spans="1:19" ht="12" customHeight="1" x14ac:dyDescent="0.25"/>
    <row r="5" spans="1:19" ht="5.2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285" t="s">
        <v>1</v>
      </c>
      <c r="L6" s="379"/>
      <c r="M6" s="379"/>
      <c r="N6" s="379"/>
      <c r="O6" s="379"/>
      <c r="P6" s="379"/>
      <c r="Q6" s="379"/>
      <c r="R6" s="380"/>
      <c r="S6" s="17" t="s">
        <v>15</v>
      </c>
    </row>
    <row r="7" spans="1:19" ht="49.15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20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686</v>
      </c>
      <c r="R7" s="16" t="s">
        <v>18</v>
      </c>
      <c r="S7" s="2" t="s">
        <v>16</v>
      </c>
    </row>
    <row r="8" spans="1:19" ht="14.25" customHeight="1" x14ac:dyDescent="0.25">
      <c r="A8" s="286" t="s">
        <v>383</v>
      </c>
      <c r="B8" s="331">
        <v>1</v>
      </c>
      <c r="C8" s="286" t="s">
        <v>260</v>
      </c>
      <c r="D8" s="332" t="s">
        <v>384</v>
      </c>
      <c r="E8" s="333">
        <v>1</v>
      </c>
      <c r="F8" s="331">
        <f>E8*B8</f>
        <v>1</v>
      </c>
      <c r="G8" s="286" t="s">
        <v>260</v>
      </c>
      <c r="H8" s="286" t="s">
        <v>385</v>
      </c>
      <c r="I8" s="330">
        <v>1</v>
      </c>
      <c r="J8" s="330">
        <f>I8*B8</f>
        <v>1</v>
      </c>
      <c r="K8" s="48" t="s">
        <v>19</v>
      </c>
      <c r="L8" s="179" t="s">
        <v>386</v>
      </c>
      <c r="M8" s="72" t="s">
        <v>387</v>
      </c>
      <c r="N8" s="73">
        <v>1</v>
      </c>
      <c r="O8" s="73">
        <f>N8*E8</f>
        <v>1</v>
      </c>
      <c r="P8" s="73">
        <f>O8*B$8</f>
        <v>1</v>
      </c>
      <c r="Q8" s="88">
        <v>10.96</v>
      </c>
      <c r="R8" s="88" t="s">
        <v>506</v>
      </c>
      <c r="S8" s="74" t="s">
        <v>44</v>
      </c>
    </row>
    <row r="9" spans="1:19" ht="14.25" customHeight="1" x14ac:dyDescent="0.25">
      <c r="A9" s="286"/>
      <c r="B9" s="331"/>
      <c r="C9" s="286"/>
      <c r="D9" s="332"/>
      <c r="E9" s="333"/>
      <c r="F9" s="331"/>
      <c r="G9" s="286"/>
      <c r="H9" s="286"/>
      <c r="I9" s="330"/>
      <c r="J9" s="330"/>
      <c r="K9" s="48" t="s">
        <v>21</v>
      </c>
      <c r="L9" s="179" t="s">
        <v>388</v>
      </c>
      <c r="M9" s="72" t="s">
        <v>389</v>
      </c>
      <c r="N9" s="73">
        <v>2</v>
      </c>
      <c r="O9" s="73">
        <f>N9*E8</f>
        <v>2</v>
      </c>
      <c r="P9" s="73">
        <f t="shared" ref="P9:P19" si="0">O9*B$8</f>
        <v>2</v>
      </c>
      <c r="Q9" s="88">
        <v>2.4</v>
      </c>
      <c r="R9" s="88" t="s">
        <v>506</v>
      </c>
      <c r="S9" s="74" t="s">
        <v>44</v>
      </c>
    </row>
    <row r="10" spans="1:19" ht="14.25" customHeight="1" x14ac:dyDescent="0.25">
      <c r="A10" s="286"/>
      <c r="B10" s="331"/>
      <c r="C10" s="286"/>
      <c r="D10" s="332"/>
      <c r="E10" s="333"/>
      <c r="F10" s="331"/>
      <c r="G10" s="286"/>
      <c r="H10" s="286"/>
      <c r="I10" s="330"/>
      <c r="J10" s="330"/>
      <c r="K10" s="48" t="s">
        <v>23</v>
      </c>
      <c r="L10" s="179" t="s">
        <v>390</v>
      </c>
      <c r="M10" s="72" t="s">
        <v>391</v>
      </c>
      <c r="N10" s="73">
        <v>1</v>
      </c>
      <c r="O10" s="73">
        <f>N10*E8</f>
        <v>1</v>
      </c>
      <c r="P10" s="73">
        <f t="shared" si="0"/>
        <v>1</v>
      </c>
      <c r="Q10" s="88">
        <v>5.5</v>
      </c>
      <c r="R10" s="88" t="s">
        <v>506</v>
      </c>
      <c r="S10" s="74" t="s">
        <v>44</v>
      </c>
    </row>
    <row r="11" spans="1:19" ht="14.25" customHeight="1" x14ac:dyDescent="0.25">
      <c r="A11" s="286"/>
      <c r="B11" s="331"/>
      <c r="C11" s="286"/>
      <c r="D11" s="332"/>
      <c r="E11" s="333"/>
      <c r="F11" s="331"/>
      <c r="G11" s="286"/>
      <c r="H11" s="286"/>
      <c r="I11" s="330"/>
      <c r="J11" s="330"/>
      <c r="K11" s="48" t="s">
        <v>26</v>
      </c>
      <c r="L11" s="179" t="s">
        <v>392</v>
      </c>
      <c r="M11" s="72" t="s">
        <v>393</v>
      </c>
      <c r="N11" s="73">
        <v>1</v>
      </c>
      <c r="O11" s="73">
        <f>N11*E8</f>
        <v>1</v>
      </c>
      <c r="P11" s="73">
        <f t="shared" si="0"/>
        <v>1</v>
      </c>
      <c r="Q11" s="88">
        <v>2</v>
      </c>
      <c r="R11" s="88" t="s">
        <v>506</v>
      </c>
      <c r="S11" s="74" t="s">
        <v>44</v>
      </c>
    </row>
    <row r="12" spans="1:19" ht="14.25" customHeight="1" x14ac:dyDescent="0.25">
      <c r="A12" s="286"/>
      <c r="B12" s="331"/>
      <c r="C12" s="286"/>
      <c r="D12" s="332"/>
      <c r="E12" s="333"/>
      <c r="F12" s="331"/>
      <c r="G12" s="286"/>
      <c r="H12" s="286"/>
      <c r="I12" s="330"/>
      <c r="J12" s="330"/>
      <c r="K12" s="48" t="s">
        <v>29</v>
      </c>
      <c r="L12" s="179" t="s">
        <v>394</v>
      </c>
      <c r="M12" s="72" t="s">
        <v>395</v>
      </c>
      <c r="N12" s="73">
        <v>2</v>
      </c>
      <c r="O12" s="73">
        <f>N12*E8</f>
        <v>2</v>
      </c>
      <c r="P12" s="73">
        <f t="shared" si="0"/>
        <v>2</v>
      </c>
      <c r="Q12" s="88">
        <v>2.4</v>
      </c>
      <c r="R12" s="88" t="s">
        <v>506</v>
      </c>
      <c r="S12" s="74" t="s">
        <v>44</v>
      </c>
    </row>
    <row r="13" spans="1:19" ht="14.25" customHeight="1" x14ac:dyDescent="0.25">
      <c r="A13" s="286"/>
      <c r="B13" s="331"/>
      <c r="C13" s="286"/>
      <c r="D13" s="332"/>
      <c r="E13" s="333"/>
      <c r="F13" s="331"/>
      <c r="G13" s="286"/>
      <c r="H13" s="286"/>
      <c r="I13" s="330"/>
      <c r="J13" s="330"/>
      <c r="K13" s="48" t="s">
        <v>32</v>
      </c>
      <c r="L13" s="179" t="s">
        <v>396</v>
      </c>
      <c r="M13" s="75" t="s">
        <v>395</v>
      </c>
      <c r="N13" s="73">
        <v>1</v>
      </c>
      <c r="O13" s="73">
        <f>N13*E8</f>
        <v>1</v>
      </c>
      <c r="P13" s="73">
        <f t="shared" si="0"/>
        <v>1</v>
      </c>
      <c r="Q13" s="88">
        <v>1.5</v>
      </c>
      <c r="R13" s="88" t="s">
        <v>506</v>
      </c>
      <c r="S13" s="74" t="s">
        <v>44</v>
      </c>
    </row>
    <row r="14" spans="1:19" ht="14.25" customHeight="1" x14ac:dyDescent="0.25">
      <c r="A14" s="286"/>
      <c r="B14" s="331"/>
      <c r="C14" s="286"/>
      <c r="D14" s="332"/>
      <c r="E14" s="333"/>
      <c r="F14" s="331"/>
      <c r="G14" s="286"/>
      <c r="H14" s="286"/>
      <c r="I14" s="330"/>
      <c r="J14" s="330"/>
      <c r="K14" s="48" t="s">
        <v>35</v>
      </c>
      <c r="L14" s="179" t="s">
        <v>397</v>
      </c>
      <c r="M14" s="72" t="s">
        <v>398</v>
      </c>
      <c r="N14" s="73">
        <v>1</v>
      </c>
      <c r="O14" s="73">
        <f>N14*E8</f>
        <v>1</v>
      </c>
      <c r="P14" s="73">
        <f t="shared" si="0"/>
        <v>1</v>
      </c>
      <c r="Q14" s="88">
        <v>3</v>
      </c>
      <c r="R14" s="88" t="s">
        <v>506</v>
      </c>
      <c r="S14" s="74" t="s">
        <v>44</v>
      </c>
    </row>
    <row r="15" spans="1:19" ht="14.25" customHeight="1" x14ac:dyDescent="0.25">
      <c r="A15" s="286"/>
      <c r="B15" s="331"/>
      <c r="C15" s="286"/>
      <c r="D15" s="332"/>
      <c r="E15" s="333"/>
      <c r="F15" s="331"/>
      <c r="G15" s="286"/>
      <c r="H15" s="286"/>
      <c r="I15" s="330"/>
      <c r="J15" s="330"/>
      <c r="K15" s="48" t="s">
        <v>37</v>
      </c>
      <c r="L15" s="179" t="s">
        <v>399</v>
      </c>
      <c r="M15" s="72" t="s">
        <v>400</v>
      </c>
      <c r="N15" s="73">
        <v>1</v>
      </c>
      <c r="O15" s="73">
        <f>N15*E8</f>
        <v>1</v>
      </c>
      <c r="P15" s="73">
        <f t="shared" si="0"/>
        <v>1</v>
      </c>
      <c r="Q15" s="88">
        <v>0.5</v>
      </c>
      <c r="R15" s="88" t="s">
        <v>506</v>
      </c>
      <c r="S15" s="74" t="s">
        <v>44</v>
      </c>
    </row>
    <row r="16" spans="1:19" ht="14.25" customHeight="1" x14ac:dyDescent="0.25">
      <c r="A16" s="286"/>
      <c r="B16" s="331"/>
      <c r="C16" s="286"/>
      <c r="D16" s="332"/>
      <c r="E16" s="333"/>
      <c r="F16" s="331"/>
      <c r="G16" s="286"/>
      <c r="H16" s="286"/>
      <c r="I16" s="330"/>
      <c r="J16" s="330"/>
      <c r="K16" s="48" t="s">
        <v>40</v>
      </c>
      <c r="L16" s="179" t="s">
        <v>401</v>
      </c>
      <c r="M16" s="72" t="s">
        <v>402</v>
      </c>
      <c r="N16" s="73">
        <v>2</v>
      </c>
      <c r="O16" s="73">
        <v>2</v>
      </c>
      <c r="P16" s="73">
        <f t="shared" si="0"/>
        <v>2</v>
      </c>
      <c r="Q16" s="237">
        <v>0.5</v>
      </c>
      <c r="R16" s="88" t="s">
        <v>506</v>
      </c>
      <c r="S16" s="76" t="s">
        <v>44</v>
      </c>
    </row>
    <row r="17" spans="1:19" ht="14.25" customHeight="1" x14ac:dyDescent="0.25">
      <c r="A17" s="286"/>
      <c r="B17" s="331"/>
      <c r="C17" s="286"/>
      <c r="D17" s="332"/>
      <c r="E17" s="333"/>
      <c r="F17" s="331"/>
      <c r="G17" s="286"/>
      <c r="H17" s="286"/>
      <c r="I17" s="330"/>
      <c r="J17" s="330"/>
      <c r="K17" s="48" t="s">
        <v>51</v>
      </c>
      <c r="L17" s="179" t="s">
        <v>403</v>
      </c>
      <c r="M17" s="72" t="s">
        <v>404</v>
      </c>
      <c r="N17" s="73">
        <v>4</v>
      </c>
      <c r="O17" s="73">
        <v>4</v>
      </c>
      <c r="P17" s="73">
        <f t="shared" si="0"/>
        <v>4</v>
      </c>
      <c r="Q17" s="88">
        <v>0.5</v>
      </c>
      <c r="R17" s="88" t="s">
        <v>506</v>
      </c>
      <c r="S17" s="74" t="s">
        <v>44</v>
      </c>
    </row>
    <row r="18" spans="1:19" ht="14.25" customHeight="1" x14ac:dyDescent="0.25">
      <c r="A18" s="286"/>
      <c r="B18" s="331"/>
      <c r="C18" s="286"/>
      <c r="D18" s="332"/>
      <c r="E18" s="333"/>
      <c r="F18" s="331"/>
      <c r="G18" s="286"/>
      <c r="H18" s="286"/>
      <c r="I18" s="330"/>
      <c r="J18" s="330"/>
      <c r="K18" s="48" t="s">
        <v>52</v>
      </c>
      <c r="L18" s="179" t="s">
        <v>405</v>
      </c>
      <c r="M18" s="77" t="s">
        <v>100</v>
      </c>
      <c r="N18" s="73">
        <v>16</v>
      </c>
      <c r="O18" s="73">
        <v>16</v>
      </c>
      <c r="P18" s="73">
        <f t="shared" si="0"/>
        <v>16</v>
      </c>
      <c r="Q18" s="88">
        <v>16</v>
      </c>
      <c r="R18" s="88" t="s">
        <v>528</v>
      </c>
      <c r="S18" s="74" t="s">
        <v>44</v>
      </c>
    </row>
    <row r="19" spans="1:19" ht="14.25" customHeight="1" x14ac:dyDescent="0.25">
      <c r="A19" s="286"/>
      <c r="B19" s="331"/>
      <c r="C19" s="286"/>
      <c r="D19" s="332"/>
      <c r="E19" s="333"/>
      <c r="F19" s="331"/>
      <c r="G19" s="286"/>
      <c r="H19" s="286"/>
      <c r="I19" s="330"/>
      <c r="J19" s="330"/>
      <c r="K19" s="48" t="s">
        <v>53</v>
      </c>
      <c r="L19" s="179" t="s">
        <v>406</v>
      </c>
      <c r="M19" s="77" t="s">
        <v>42</v>
      </c>
      <c r="N19" s="73">
        <v>16</v>
      </c>
      <c r="O19" s="73">
        <v>16</v>
      </c>
      <c r="P19" s="73">
        <f t="shared" si="0"/>
        <v>16</v>
      </c>
      <c r="Q19" s="88">
        <v>16</v>
      </c>
      <c r="R19" s="88" t="s">
        <v>528</v>
      </c>
      <c r="S19" s="74" t="s">
        <v>44</v>
      </c>
    </row>
    <row r="20" spans="1:19" x14ac:dyDescent="0.25">
      <c r="I20" s="5"/>
      <c r="J20" s="5"/>
    </row>
    <row r="29" spans="1:19" ht="24.75" customHeight="1" x14ac:dyDescent="0.25"/>
    <row r="37" spans="1:19" ht="5.25" customHeight="1" x14ac:dyDescent="0.25"/>
    <row r="38" spans="1:19" ht="19.5" x14ac:dyDescent="0.25">
      <c r="A38" s="284" t="s">
        <v>0</v>
      </c>
      <c r="B38" s="285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21"/>
      <c r="R38" s="21"/>
      <c r="S38" s="17" t="s">
        <v>15</v>
      </c>
    </row>
    <row r="39" spans="1:19" ht="60" x14ac:dyDescent="0.25">
      <c r="A39" s="20" t="s">
        <v>2</v>
      </c>
      <c r="B39" s="3" t="s">
        <v>3</v>
      </c>
      <c r="C39" s="14" t="s">
        <v>4</v>
      </c>
      <c r="D39" s="15" t="s">
        <v>5</v>
      </c>
      <c r="E39" s="14" t="s">
        <v>6</v>
      </c>
      <c r="F39" s="14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6" t="s">
        <v>3</v>
      </c>
      <c r="Q39" s="16" t="s">
        <v>686</v>
      </c>
      <c r="R39" s="16" t="s">
        <v>18</v>
      </c>
      <c r="S39" s="2" t="s">
        <v>16</v>
      </c>
    </row>
    <row r="40" spans="1:19" ht="15" customHeight="1" x14ac:dyDescent="0.25">
      <c r="A40" s="286" t="s">
        <v>383</v>
      </c>
      <c r="B40" s="330">
        <v>1</v>
      </c>
      <c r="C40" s="286" t="s">
        <v>260</v>
      </c>
      <c r="D40" s="332" t="s">
        <v>384</v>
      </c>
      <c r="E40" s="333">
        <v>1</v>
      </c>
      <c r="F40" s="331">
        <f>E40*B40</f>
        <v>1</v>
      </c>
      <c r="G40" s="289" t="s">
        <v>265</v>
      </c>
      <c r="H40" s="289" t="s">
        <v>407</v>
      </c>
      <c r="I40" s="335">
        <v>1</v>
      </c>
      <c r="J40" s="335">
        <f>I40*B40</f>
        <v>1</v>
      </c>
      <c r="K40" s="48" t="s">
        <v>57</v>
      </c>
      <c r="L40" s="242" t="s">
        <v>408</v>
      </c>
      <c r="M40" s="72" t="s">
        <v>387</v>
      </c>
      <c r="N40" s="73">
        <v>1</v>
      </c>
      <c r="O40" s="73">
        <f>N40*E40</f>
        <v>1</v>
      </c>
      <c r="P40" s="73">
        <f>O40*B$40</f>
        <v>1</v>
      </c>
      <c r="Q40" s="73">
        <v>9</v>
      </c>
      <c r="R40" s="73" t="s">
        <v>506</v>
      </c>
      <c r="S40" s="53" t="s">
        <v>44</v>
      </c>
    </row>
    <row r="41" spans="1:19" x14ac:dyDescent="0.25">
      <c r="A41" s="286"/>
      <c r="B41" s="330"/>
      <c r="C41" s="286"/>
      <c r="D41" s="332"/>
      <c r="E41" s="333"/>
      <c r="F41" s="331"/>
      <c r="G41" s="290"/>
      <c r="H41" s="290"/>
      <c r="I41" s="336"/>
      <c r="J41" s="336"/>
      <c r="K41" s="48" t="s">
        <v>58</v>
      </c>
      <c r="L41" s="242" t="s">
        <v>409</v>
      </c>
      <c r="M41" s="72" t="s">
        <v>410</v>
      </c>
      <c r="N41" s="73">
        <v>2</v>
      </c>
      <c r="O41" s="73">
        <f>N41*E40</f>
        <v>2</v>
      </c>
      <c r="P41" s="73">
        <f t="shared" ref="P41:P47" si="1">O41*B$40</f>
        <v>2</v>
      </c>
      <c r="Q41" s="73">
        <v>5</v>
      </c>
      <c r="R41" s="73" t="s">
        <v>506</v>
      </c>
      <c r="S41" s="53" t="s">
        <v>44</v>
      </c>
    </row>
    <row r="42" spans="1:19" ht="15.75" thickBot="1" x14ac:dyDescent="0.3">
      <c r="A42" s="286"/>
      <c r="B42" s="330"/>
      <c r="C42" s="286"/>
      <c r="D42" s="332"/>
      <c r="E42" s="333"/>
      <c r="F42" s="331"/>
      <c r="G42" s="334"/>
      <c r="H42" s="334"/>
      <c r="I42" s="337"/>
      <c r="J42" s="337"/>
      <c r="K42" s="61" t="s">
        <v>65</v>
      </c>
      <c r="L42" s="243" t="s">
        <v>401</v>
      </c>
      <c r="M42" s="78" t="s">
        <v>402</v>
      </c>
      <c r="N42" s="79">
        <v>2</v>
      </c>
      <c r="O42" s="79">
        <v>2</v>
      </c>
      <c r="P42" s="73">
        <f t="shared" si="1"/>
        <v>2</v>
      </c>
      <c r="Q42" s="235">
        <v>0.5</v>
      </c>
      <c r="R42" s="73" t="s">
        <v>506</v>
      </c>
      <c r="S42" s="63" t="s">
        <v>44</v>
      </c>
    </row>
    <row r="43" spans="1:19" x14ac:dyDescent="0.25">
      <c r="A43" s="286"/>
      <c r="B43" s="330"/>
      <c r="C43" s="286"/>
      <c r="D43" s="332"/>
      <c r="E43" s="333"/>
      <c r="F43" s="331"/>
      <c r="G43" s="339" t="s">
        <v>268</v>
      </c>
      <c r="H43" s="339" t="s">
        <v>411</v>
      </c>
      <c r="I43" s="341">
        <v>1</v>
      </c>
      <c r="J43" s="341">
        <f>I43*B40</f>
        <v>1</v>
      </c>
      <c r="K43" s="80" t="s">
        <v>66</v>
      </c>
      <c r="L43" s="244" t="s">
        <v>412</v>
      </c>
      <c r="M43" s="81" t="s">
        <v>275</v>
      </c>
      <c r="N43" s="82">
        <v>12</v>
      </c>
      <c r="O43" s="82">
        <v>12</v>
      </c>
      <c r="P43" s="82">
        <f t="shared" si="1"/>
        <v>12</v>
      </c>
      <c r="Q43" s="82">
        <v>12</v>
      </c>
      <c r="R43" s="82" t="s">
        <v>528</v>
      </c>
      <c r="S43" s="83" t="s">
        <v>44</v>
      </c>
    </row>
    <row r="44" spans="1:19" ht="15.75" thickBot="1" x14ac:dyDescent="0.3">
      <c r="A44" s="286"/>
      <c r="B44" s="330"/>
      <c r="C44" s="286"/>
      <c r="D44" s="332"/>
      <c r="E44" s="333"/>
      <c r="F44" s="331"/>
      <c r="G44" s="340"/>
      <c r="H44" s="340"/>
      <c r="I44" s="342"/>
      <c r="J44" s="342"/>
      <c r="K44" s="61" t="s">
        <v>67</v>
      </c>
      <c r="L44" s="243" t="s">
        <v>84</v>
      </c>
      <c r="M44" s="84" t="s">
        <v>276</v>
      </c>
      <c r="N44" s="79">
        <v>12</v>
      </c>
      <c r="O44" s="79">
        <f>N44*E40</f>
        <v>12</v>
      </c>
      <c r="P44" s="79">
        <f t="shared" si="1"/>
        <v>12</v>
      </c>
      <c r="Q44" s="79">
        <v>12</v>
      </c>
      <c r="R44" s="79" t="s">
        <v>528</v>
      </c>
      <c r="S44" s="63" t="s">
        <v>44</v>
      </c>
    </row>
    <row r="45" spans="1:19" x14ac:dyDescent="0.25">
      <c r="A45" s="286"/>
      <c r="B45" s="330"/>
      <c r="C45" s="286"/>
      <c r="D45" s="332"/>
      <c r="E45" s="333"/>
      <c r="F45" s="331"/>
      <c r="G45" s="85"/>
      <c r="H45" s="85"/>
      <c r="I45" s="85"/>
      <c r="J45" s="85"/>
      <c r="K45" s="117" t="s">
        <v>68</v>
      </c>
      <c r="L45" s="245" t="s">
        <v>413</v>
      </c>
      <c r="M45" s="86" t="s">
        <v>414</v>
      </c>
      <c r="N45" s="87">
        <v>2</v>
      </c>
      <c r="O45" s="87">
        <v>2</v>
      </c>
      <c r="P45" s="87">
        <f t="shared" si="1"/>
        <v>2</v>
      </c>
      <c r="Q45" s="87">
        <v>2</v>
      </c>
      <c r="R45" s="87" t="s">
        <v>528</v>
      </c>
      <c r="S45" s="65" t="s">
        <v>44</v>
      </c>
    </row>
    <row r="46" spans="1:19" x14ac:dyDescent="0.25">
      <c r="A46" s="286"/>
      <c r="B46" s="330"/>
      <c r="C46" s="286"/>
      <c r="D46" s="332"/>
      <c r="E46" s="333"/>
      <c r="F46" s="331"/>
      <c r="G46" s="48"/>
      <c r="H46" s="48"/>
      <c r="I46" s="48"/>
      <c r="J46" s="48"/>
      <c r="K46" s="48" t="s">
        <v>69</v>
      </c>
      <c r="L46" s="242" t="s">
        <v>415</v>
      </c>
      <c r="M46" s="77" t="s">
        <v>414</v>
      </c>
      <c r="N46" s="88">
        <v>2</v>
      </c>
      <c r="O46" s="73">
        <v>2</v>
      </c>
      <c r="P46" s="73">
        <f t="shared" si="1"/>
        <v>2</v>
      </c>
      <c r="Q46" s="73">
        <v>2</v>
      </c>
      <c r="R46" s="73" t="s">
        <v>528</v>
      </c>
      <c r="S46" s="53" t="s">
        <v>44</v>
      </c>
    </row>
    <row r="47" spans="1:19" x14ac:dyDescent="0.25">
      <c r="A47" s="286"/>
      <c r="B47" s="330"/>
      <c r="C47" s="286"/>
      <c r="D47" s="332"/>
      <c r="E47" s="333"/>
      <c r="F47" s="331"/>
      <c r="G47" s="48"/>
      <c r="H47" s="48"/>
      <c r="I47" s="48"/>
      <c r="J47" s="48"/>
      <c r="K47" s="48" t="s">
        <v>70</v>
      </c>
      <c r="L47" s="242" t="s">
        <v>416</v>
      </c>
      <c r="M47" s="77" t="s">
        <v>44</v>
      </c>
      <c r="N47" s="88">
        <v>6</v>
      </c>
      <c r="O47" s="73">
        <v>6</v>
      </c>
      <c r="P47" s="73">
        <f t="shared" si="1"/>
        <v>6</v>
      </c>
      <c r="Q47" s="73">
        <v>6</v>
      </c>
      <c r="R47" s="73" t="s">
        <v>528</v>
      </c>
      <c r="S47" s="53" t="s">
        <v>44</v>
      </c>
    </row>
    <row r="48" spans="1:19" x14ac:dyDescent="0.25">
      <c r="I48" s="5"/>
      <c r="J48" s="5"/>
    </row>
    <row r="62" ht="17.25" customHeight="1" x14ac:dyDescent="0.25"/>
    <row r="64" ht="12.75" customHeight="1" x14ac:dyDescent="0.25"/>
    <row r="65" spans="1:19" ht="21" customHeight="1" x14ac:dyDescent="0.25"/>
    <row r="66" spans="1:19" ht="12" customHeight="1" x14ac:dyDescent="0.25"/>
    <row r="67" spans="1:19" ht="19.5" x14ac:dyDescent="0.25">
      <c r="A67" s="284" t="s">
        <v>0</v>
      </c>
      <c r="B67" s="285"/>
      <c r="C67" s="11"/>
      <c r="D67" s="12"/>
      <c r="E67" s="12" t="s">
        <v>14</v>
      </c>
      <c r="F67" s="13"/>
      <c r="G67" s="12"/>
      <c r="H67" s="12" t="s">
        <v>13</v>
      </c>
      <c r="I67" s="12"/>
      <c r="J67" s="13"/>
      <c r="K67" s="11"/>
      <c r="L67" s="12"/>
      <c r="M67" s="6" t="s">
        <v>1</v>
      </c>
      <c r="N67" s="12"/>
      <c r="O67" s="12"/>
      <c r="P67" s="12"/>
      <c r="Q67" s="21"/>
      <c r="R67" s="21"/>
      <c r="S67" s="17" t="s">
        <v>15</v>
      </c>
    </row>
    <row r="68" spans="1:19" ht="42.75" customHeight="1" x14ac:dyDescent="0.25">
      <c r="A68" s="20" t="s">
        <v>2</v>
      </c>
      <c r="B68" s="3" t="s">
        <v>3</v>
      </c>
      <c r="C68" s="14" t="s">
        <v>4</v>
      </c>
      <c r="D68" s="15" t="s">
        <v>5</v>
      </c>
      <c r="E68" s="14" t="s">
        <v>6</v>
      </c>
      <c r="F68" s="14" t="s">
        <v>3</v>
      </c>
      <c r="G68" s="3" t="s">
        <v>10</v>
      </c>
      <c r="H68" s="3" t="s">
        <v>5</v>
      </c>
      <c r="I68" s="3" t="s">
        <v>12</v>
      </c>
      <c r="J68" s="3" t="s">
        <v>11</v>
      </c>
      <c r="K68" s="1" t="s">
        <v>7</v>
      </c>
      <c r="L68" s="2" t="s">
        <v>5</v>
      </c>
      <c r="M68" s="2" t="s">
        <v>9</v>
      </c>
      <c r="N68" s="3" t="s">
        <v>8</v>
      </c>
      <c r="O68" s="3" t="s">
        <v>6</v>
      </c>
      <c r="P68" s="16" t="s">
        <v>3</v>
      </c>
      <c r="Q68" s="16" t="s">
        <v>686</v>
      </c>
      <c r="R68" s="16" t="s">
        <v>18</v>
      </c>
      <c r="S68" s="2" t="s">
        <v>16</v>
      </c>
    </row>
    <row r="69" spans="1:19" ht="12.95" customHeight="1" x14ac:dyDescent="0.25">
      <c r="A69" s="289" t="s">
        <v>383</v>
      </c>
      <c r="B69" s="335">
        <v>1</v>
      </c>
      <c r="C69" s="344" t="s">
        <v>265</v>
      </c>
      <c r="D69" s="347" t="s">
        <v>417</v>
      </c>
      <c r="E69" s="376" t="s">
        <v>19</v>
      </c>
      <c r="F69" s="362">
        <f>E69*B69</f>
        <v>1</v>
      </c>
      <c r="G69" s="286" t="s">
        <v>260</v>
      </c>
      <c r="H69" s="286" t="s">
        <v>418</v>
      </c>
      <c r="I69" s="330" t="s">
        <v>19</v>
      </c>
      <c r="J69" s="330">
        <f>I69*B69</f>
        <v>1</v>
      </c>
      <c r="K69" s="48" t="s">
        <v>19</v>
      </c>
      <c r="L69" s="246" t="s">
        <v>419</v>
      </c>
      <c r="M69" s="44" t="s">
        <v>420</v>
      </c>
      <c r="N69" s="45">
        <v>1</v>
      </c>
      <c r="O69" s="45">
        <v>1</v>
      </c>
      <c r="P69" s="46">
        <f>O69*B$69</f>
        <v>1</v>
      </c>
      <c r="Q69" s="46">
        <v>3.8</v>
      </c>
      <c r="R69" s="46" t="s">
        <v>506</v>
      </c>
      <c r="S69" s="53" t="s">
        <v>44</v>
      </c>
    </row>
    <row r="70" spans="1:19" ht="12.95" customHeight="1" x14ac:dyDescent="0.25">
      <c r="A70" s="290"/>
      <c r="B70" s="336"/>
      <c r="C70" s="345"/>
      <c r="D70" s="348"/>
      <c r="E70" s="377"/>
      <c r="F70" s="363"/>
      <c r="G70" s="286"/>
      <c r="H70" s="286"/>
      <c r="I70" s="330"/>
      <c r="J70" s="330"/>
      <c r="K70" s="48" t="s">
        <v>21</v>
      </c>
      <c r="L70" s="246" t="s">
        <v>421</v>
      </c>
      <c r="M70" s="44" t="s">
        <v>422</v>
      </c>
      <c r="N70" s="45">
        <v>1</v>
      </c>
      <c r="O70" s="45">
        <v>1</v>
      </c>
      <c r="P70" s="46">
        <f t="shared" ref="P70:P95" si="2">O70*B$69</f>
        <v>1</v>
      </c>
      <c r="Q70" s="46">
        <v>2.8</v>
      </c>
      <c r="R70" s="46" t="s">
        <v>506</v>
      </c>
      <c r="S70" s="53" t="s">
        <v>44</v>
      </c>
    </row>
    <row r="71" spans="1:19" ht="12.95" customHeight="1" x14ac:dyDescent="0.25">
      <c r="A71" s="290"/>
      <c r="B71" s="336"/>
      <c r="C71" s="345"/>
      <c r="D71" s="348"/>
      <c r="E71" s="377"/>
      <c r="F71" s="363"/>
      <c r="G71" s="286"/>
      <c r="H71" s="286"/>
      <c r="I71" s="330"/>
      <c r="J71" s="330"/>
      <c r="K71" s="48" t="s">
        <v>23</v>
      </c>
      <c r="L71" s="246" t="s">
        <v>423</v>
      </c>
      <c r="M71" s="44" t="s">
        <v>424</v>
      </c>
      <c r="N71" s="45">
        <v>2</v>
      </c>
      <c r="O71" s="45">
        <v>2</v>
      </c>
      <c r="P71" s="46">
        <f t="shared" si="2"/>
        <v>2</v>
      </c>
      <c r="Q71" s="46">
        <v>1.6</v>
      </c>
      <c r="R71" s="46" t="s">
        <v>506</v>
      </c>
      <c r="S71" s="53" t="s">
        <v>44</v>
      </c>
    </row>
    <row r="72" spans="1:19" ht="12.95" customHeight="1" x14ac:dyDescent="0.25">
      <c r="A72" s="290"/>
      <c r="B72" s="336"/>
      <c r="C72" s="345"/>
      <c r="D72" s="348"/>
      <c r="E72" s="377"/>
      <c r="F72" s="363"/>
      <c r="G72" s="286"/>
      <c r="H72" s="286"/>
      <c r="I72" s="330"/>
      <c r="J72" s="330"/>
      <c r="K72" s="48" t="s">
        <v>26</v>
      </c>
      <c r="L72" s="246" t="s">
        <v>425</v>
      </c>
      <c r="M72" s="44" t="s">
        <v>426</v>
      </c>
      <c r="N72" s="45">
        <v>4</v>
      </c>
      <c r="O72" s="45">
        <v>4</v>
      </c>
      <c r="P72" s="46">
        <f t="shared" si="2"/>
        <v>4</v>
      </c>
      <c r="Q72" s="46">
        <v>2.4</v>
      </c>
      <c r="R72" s="46" t="s">
        <v>506</v>
      </c>
      <c r="S72" s="53" t="s">
        <v>44</v>
      </c>
    </row>
    <row r="73" spans="1:19" ht="12.95" customHeight="1" x14ac:dyDescent="0.25">
      <c r="A73" s="290"/>
      <c r="B73" s="336"/>
      <c r="C73" s="345"/>
      <c r="D73" s="348"/>
      <c r="E73" s="377"/>
      <c r="F73" s="363"/>
      <c r="G73" s="286"/>
      <c r="H73" s="286"/>
      <c r="I73" s="330"/>
      <c r="J73" s="330"/>
      <c r="K73" s="48" t="s">
        <v>29</v>
      </c>
      <c r="L73" s="246" t="s">
        <v>427</v>
      </c>
      <c r="M73" s="44" t="s">
        <v>428</v>
      </c>
      <c r="N73" s="45">
        <v>1</v>
      </c>
      <c r="O73" s="45">
        <v>1</v>
      </c>
      <c r="P73" s="46">
        <f t="shared" si="2"/>
        <v>1</v>
      </c>
      <c r="Q73" s="46">
        <v>9.5</v>
      </c>
      <c r="R73" s="46" t="s">
        <v>506</v>
      </c>
      <c r="S73" s="53" t="s">
        <v>44</v>
      </c>
    </row>
    <row r="74" spans="1:19" ht="12.95" customHeight="1" x14ac:dyDescent="0.25">
      <c r="A74" s="290"/>
      <c r="B74" s="336"/>
      <c r="C74" s="345"/>
      <c r="D74" s="348"/>
      <c r="E74" s="377"/>
      <c r="F74" s="363"/>
      <c r="G74" s="286"/>
      <c r="H74" s="286"/>
      <c r="I74" s="330"/>
      <c r="J74" s="330"/>
      <c r="K74" s="48" t="s">
        <v>32</v>
      </c>
      <c r="L74" s="246" t="s">
        <v>429</v>
      </c>
      <c r="M74" s="51" t="s">
        <v>430</v>
      </c>
      <c r="N74" s="45">
        <v>1</v>
      </c>
      <c r="O74" s="45">
        <v>1</v>
      </c>
      <c r="P74" s="46">
        <f t="shared" si="2"/>
        <v>1</v>
      </c>
      <c r="Q74" s="46">
        <v>1</v>
      </c>
      <c r="R74" s="46" t="s">
        <v>528</v>
      </c>
      <c r="S74" s="53" t="s">
        <v>44</v>
      </c>
    </row>
    <row r="75" spans="1:19" ht="12.95" customHeight="1" x14ac:dyDescent="0.25">
      <c r="A75" s="290"/>
      <c r="B75" s="336"/>
      <c r="C75" s="345"/>
      <c r="D75" s="348"/>
      <c r="E75" s="377"/>
      <c r="F75" s="363"/>
      <c r="G75" s="286"/>
      <c r="H75" s="286"/>
      <c r="I75" s="330"/>
      <c r="J75" s="330"/>
      <c r="K75" s="48" t="s">
        <v>35</v>
      </c>
      <c r="L75" s="246" t="s">
        <v>431</v>
      </c>
      <c r="M75" s="44" t="s">
        <v>100</v>
      </c>
      <c r="N75" s="45">
        <v>17</v>
      </c>
      <c r="O75" s="45">
        <v>17</v>
      </c>
      <c r="P75" s="46">
        <f t="shared" si="2"/>
        <v>17</v>
      </c>
      <c r="Q75" s="46">
        <v>17</v>
      </c>
      <c r="R75" s="46" t="s">
        <v>528</v>
      </c>
      <c r="S75" s="53" t="s">
        <v>44</v>
      </c>
    </row>
    <row r="76" spans="1:19" ht="12.95" customHeight="1" x14ac:dyDescent="0.25">
      <c r="A76" s="290"/>
      <c r="B76" s="336"/>
      <c r="C76" s="345"/>
      <c r="D76" s="348"/>
      <c r="E76" s="377"/>
      <c r="F76" s="363"/>
      <c r="G76" s="286"/>
      <c r="H76" s="286"/>
      <c r="I76" s="330"/>
      <c r="J76" s="330"/>
      <c r="K76" s="48" t="s">
        <v>37</v>
      </c>
      <c r="L76" s="246" t="s">
        <v>432</v>
      </c>
      <c r="M76" s="44" t="s">
        <v>315</v>
      </c>
      <c r="N76" s="45">
        <v>3</v>
      </c>
      <c r="O76" s="45">
        <v>3</v>
      </c>
      <c r="P76" s="46">
        <f t="shared" si="2"/>
        <v>3</v>
      </c>
      <c r="Q76" s="46">
        <v>3</v>
      </c>
      <c r="R76" s="46" t="s">
        <v>528</v>
      </c>
      <c r="S76" s="53" t="s">
        <v>44</v>
      </c>
    </row>
    <row r="77" spans="1:19" ht="12.95" customHeight="1" x14ac:dyDescent="0.25">
      <c r="A77" s="290"/>
      <c r="B77" s="336"/>
      <c r="C77" s="345"/>
      <c r="D77" s="348"/>
      <c r="E77" s="377"/>
      <c r="F77" s="363"/>
      <c r="G77" s="286"/>
      <c r="H77" s="286"/>
      <c r="I77" s="330"/>
      <c r="J77" s="330"/>
      <c r="K77" s="48" t="s">
        <v>40</v>
      </c>
      <c r="L77" s="246" t="s">
        <v>433</v>
      </c>
      <c r="M77" s="44" t="s">
        <v>434</v>
      </c>
      <c r="N77" s="45">
        <v>3</v>
      </c>
      <c r="O77" s="45">
        <v>3</v>
      </c>
      <c r="P77" s="46">
        <f t="shared" si="2"/>
        <v>3</v>
      </c>
      <c r="Q77" s="46">
        <v>3</v>
      </c>
      <c r="R77" s="46" t="s">
        <v>528</v>
      </c>
      <c r="S77" s="53" t="s">
        <v>44</v>
      </c>
    </row>
    <row r="78" spans="1:19" ht="12.95" customHeight="1" x14ac:dyDescent="0.25">
      <c r="A78" s="290"/>
      <c r="B78" s="336"/>
      <c r="C78" s="345"/>
      <c r="D78" s="348"/>
      <c r="E78" s="377"/>
      <c r="F78" s="363"/>
      <c r="G78" s="286"/>
      <c r="H78" s="286"/>
      <c r="I78" s="330"/>
      <c r="J78" s="330"/>
      <c r="K78" s="48" t="s">
        <v>51</v>
      </c>
      <c r="L78" s="246" t="s">
        <v>435</v>
      </c>
      <c r="M78" s="44" t="s">
        <v>42</v>
      </c>
      <c r="N78" s="45">
        <v>17</v>
      </c>
      <c r="O78" s="45">
        <v>17</v>
      </c>
      <c r="P78" s="46">
        <f t="shared" si="2"/>
        <v>17</v>
      </c>
      <c r="Q78" s="46">
        <v>17</v>
      </c>
      <c r="R78" s="46" t="s">
        <v>528</v>
      </c>
      <c r="S78" s="53" t="s">
        <v>44</v>
      </c>
    </row>
    <row r="79" spans="1:19" ht="12.95" customHeight="1" x14ac:dyDescent="0.25">
      <c r="A79" s="290"/>
      <c r="B79" s="336"/>
      <c r="C79" s="345"/>
      <c r="D79" s="348"/>
      <c r="E79" s="377"/>
      <c r="F79" s="363"/>
      <c r="G79" s="286"/>
      <c r="H79" s="286"/>
      <c r="I79" s="330"/>
      <c r="J79" s="330"/>
      <c r="K79" s="48" t="s">
        <v>52</v>
      </c>
      <c r="L79" s="246" t="s">
        <v>436</v>
      </c>
      <c r="M79" s="44" t="s">
        <v>365</v>
      </c>
      <c r="N79" s="45">
        <v>17</v>
      </c>
      <c r="O79" s="45">
        <v>17</v>
      </c>
      <c r="P79" s="46">
        <f t="shared" si="2"/>
        <v>17</v>
      </c>
      <c r="Q79" s="46">
        <v>17</v>
      </c>
      <c r="R79" s="46" t="s">
        <v>528</v>
      </c>
      <c r="S79" s="53" t="s">
        <v>44</v>
      </c>
    </row>
    <row r="80" spans="1:19" ht="12.95" customHeight="1" x14ac:dyDescent="0.25">
      <c r="A80" s="290"/>
      <c r="B80" s="336"/>
      <c r="C80" s="345"/>
      <c r="D80" s="348"/>
      <c r="E80" s="377"/>
      <c r="F80" s="363"/>
      <c r="G80" s="286"/>
      <c r="H80" s="286"/>
      <c r="I80" s="330"/>
      <c r="J80" s="330"/>
      <c r="K80" s="48" t="s">
        <v>53</v>
      </c>
      <c r="L80" s="246" t="s">
        <v>437</v>
      </c>
      <c r="M80" s="44" t="s">
        <v>85</v>
      </c>
      <c r="N80" s="45">
        <v>3</v>
      </c>
      <c r="O80" s="45">
        <v>3</v>
      </c>
      <c r="P80" s="46">
        <f t="shared" si="2"/>
        <v>3</v>
      </c>
      <c r="Q80" s="46">
        <v>3</v>
      </c>
      <c r="R80" s="46" t="s">
        <v>528</v>
      </c>
      <c r="S80" s="53" t="s">
        <v>44</v>
      </c>
    </row>
    <row r="81" spans="1:19" ht="12.95" customHeight="1" x14ac:dyDescent="0.25">
      <c r="A81" s="290"/>
      <c r="B81" s="336"/>
      <c r="C81" s="345"/>
      <c r="D81" s="348"/>
      <c r="E81" s="377"/>
      <c r="F81" s="363"/>
      <c r="G81" s="286"/>
      <c r="H81" s="286"/>
      <c r="I81" s="330"/>
      <c r="J81" s="330"/>
      <c r="K81" s="48" t="s">
        <v>57</v>
      </c>
      <c r="L81" s="246" t="s">
        <v>438</v>
      </c>
      <c r="M81" s="44" t="s">
        <v>439</v>
      </c>
      <c r="N81" s="45">
        <v>15</v>
      </c>
      <c r="O81" s="45">
        <v>15</v>
      </c>
      <c r="P81" s="46">
        <f t="shared" si="2"/>
        <v>15</v>
      </c>
      <c r="Q81" s="46">
        <v>15</v>
      </c>
      <c r="R81" s="46" t="s">
        <v>528</v>
      </c>
      <c r="S81" s="53" t="s">
        <v>44</v>
      </c>
    </row>
    <row r="82" spans="1:19" ht="12.95" customHeight="1" x14ac:dyDescent="0.25">
      <c r="A82" s="290"/>
      <c r="B82" s="336"/>
      <c r="C82" s="345"/>
      <c r="D82" s="348"/>
      <c r="E82" s="377"/>
      <c r="F82" s="363"/>
      <c r="G82" s="286"/>
      <c r="H82" s="286"/>
      <c r="I82" s="330"/>
      <c r="J82" s="330"/>
      <c r="K82" s="48" t="s">
        <v>58</v>
      </c>
      <c r="L82" s="246" t="s">
        <v>440</v>
      </c>
      <c r="M82" s="44" t="s">
        <v>441</v>
      </c>
      <c r="N82" s="45">
        <v>1</v>
      </c>
      <c r="O82" s="45">
        <v>1</v>
      </c>
      <c r="P82" s="46">
        <f t="shared" si="2"/>
        <v>1</v>
      </c>
      <c r="Q82" s="46">
        <v>1.5</v>
      </c>
      <c r="R82" s="46" t="s">
        <v>506</v>
      </c>
      <c r="S82" s="53" t="s">
        <v>44</v>
      </c>
    </row>
    <row r="83" spans="1:19" ht="12.95" customHeight="1" x14ac:dyDescent="0.25">
      <c r="A83" s="290"/>
      <c r="B83" s="336"/>
      <c r="C83" s="345"/>
      <c r="D83" s="348"/>
      <c r="E83" s="377"/>
      <c r="F83" s="363"/>
      <c r="G83" s="286"/>
      <c r="H83" s="286"/>
      <c r="I83" s="330"/>
      <c r="J83" s="330"/>
      <c r="K83" s="48" t="s">
        <v>65</v>
      </c>
      <c r="L83" s="246" t="s">
        <v>442</v>
      </c>
      <c r="M83" s="51" t="s">
        <v>443</v>
      </c>
      <c r="N83" s="45">
        <v>1</v>
      </c>
      <c r="O83" s="45">
        <v>1</v>
      </c>
      <c r="P83" s="46">
        <f t="shared" si="2"/>
        <v>1</v>
      </c>
      <c r="Q83" s="46">
        <v>1</v>
      </c>
      <c r="R83" s="46" t="s">
        <v>528</v>
      </c>
      <c r="S83" s="53" t="s">
        <v>44</v>
      </c>
    </row>
    <row r="84" spans="1:19" ht="12.95" customHeight="1" x14ac:dyDescent="0.25">
      <c r="A84" s="290"/>
      <c r="B84" s="336"/>
      <c r="C84" s="345"/>
      <c r="D84" s="348"/>
      <c r="E84" s="377"/>
      <c r="F84" s="363"/>
      <c r="G84" s="286"/>
      <c r="H84" s="286"/>
      <c r="I84" s="330"/>
      <c r="J84" s="330"/>
      <c r="K84" s="48" t="s">
        <v>66</v>
      </c>
      <c r="L84" s="246" t="s">
        <v>444</v>
      </c>
      <c r="M84" s="44" t="s">
        <v>445</v>
      </c>
      <c r="N84" s="45">
        <v>4</v>
      </c>
      <c r="O84" s="45">
        <v>4</v>
      </c>
      <c r="P84" s="46">
        <f t="shared" si="2"/>
        <v>4</v>
      </c>
      <c r="Q84" s="46">
        <v>4</v>
      </c>
      <c r="R84" s="46" t="s">
        <v>528</v>
      </c>
      <c r="S84" s="53" t="s">
        <v>44</v>
      </c>
    </row>
    <row r="85" spans="1:19" ht="12.95" customHeight="1" x14ac:dyDescent="0.25">
      <c r="A85" s="290"/>
      <c r="B85" s="336"/>
      <c r="C85" s="345"/>
      <c r="D85" s="348"/>
      <c r="E85" s="377"/>
      <c r="F85" s="363"/>
      <c r="G85" s="286"/>
      <c r="H85" s="286"/>
      <c r="I85" s="330"/>
      <c r="J85" s="330"/>
      <c r="K85" s="48" t="s">
        <v>67</v>
      </c>
      <c r="L85" s="246" t="s">
        <v>446</v>
      </c>
      <c r="M85" s="44" t="s">
        <v>75</v>
      </c>
      <c r="N85" s="45">
        <v>4</v>
      </c>
      <c r="O85" s="45">
        <v>4</v>
      </c>
      <c r="P85" s="46">
        <f t="shared" si="2"/>
        <v>4</v>
      </c>
      <c r="Q85" s="46">
        <v>4</v>
      </c>
      <c r="R85" s="46" t="s">
        <v>528</v>
      </c>
      <c r="S85" s="53" t="s">
        <v>44</v>
      </c>
    </row>
    <row r="86" spans="1:19" ht="12.95" customHeight="1" x14ac:dyDescent="0.25">
      <c r="A86" s="290"/>
      <c r="B86" s="336"/>
      <c r="C86" s="345"/>
      <c r="D86" s="348"/>
      <c r="E86" s="377"/>
      <c r="F86" s="363"/>
      <c r="G86" s="286"/>
      <c r="H86" s="286"/>
      <c r="I86" s="330"/>
      <c r="J86" s="330"/>
      <c r="K86" s="48" t="s">
        <v>68</v>
      </c>
      <c r="L86" s="246" t="s">
        <v>447</v>
      </c>
      <c r="M86" s="44" t="s">
        <v>448</v>
      </c>
      <c r="N86" s="45">
        <v>1</v>
      </c>
      <c r="O86" s="45">
        <v>1</v>
      </c>
      <c r="P86" s="46">
        <f t="shared" si="2"/>
        <v>1</v>
      </c>
      <c r="Q86" s="46">
        <v>1</v>
      </c>
      <c r="R86" s="46" t="s">
        <v>528</v>
      </c>
      <c r="S86" s="53" t="s">
        <v>44</v>
      </c>
    </row>
    <row r="87" spans="1:19" ht="12.95" customHeight="1" x14ac:dyDescent="0.25">
      <c r="A87" s="290"/>
      <c r="B87" s="336"/>
      <c r="C87" s="345"/>
      <c r="D87" s="348"/>
      <c r="E87" s="377"/>
      <c r="F87" s="363"/>
      <c r="G87" s="289"/>
      <c r="H87" s="289"/>
      <c r="I87" s="335"/>
      <c r="J87" s="335"/>
      <c r="K87" s="116" t="s">
        <v>69</v>
      </c>
      <c r="L87" s="247" t="s">
        <v>449</v>
      </c>
      <c r="M87" s="44" t="s">
        <v>434</v>
      </c>
      <c r="N87" s="89">
        <v>1</v>
      </c>
      <c r="O87" s="89">
        <v>1</v>
      </c>
      <c r="P87" s="46">
        <f t="shared" si="2"/>
        <v>1</v>
      </c>
      <c r="Q87" s="238">
        <v>1</v>
      </c>
      <c r="R87" s="46" t="s">
        <v>528</v>
      </c>
      <c r="S87" s="90" t="s">
        <v>44</v>
      </c>
    </row>
    <row r="88" spans="1:19" ht="12.95" customHeight="1" thickBot="1" x14ac:dyDescent="0.3">
      <c r="A88" s="290"/>
      <c r="B88" s="336"/>
      <c r="C88" s="345"/>
      <c r="D88" s="348"/>
      <c r="E88" s="377"/>
      <c r="F88" s="363"/>
      <c r="G88" s="365"/>
      <c r="H88" s="365"/>
      <c r="I88" s="338"/>
      <c r="J88" s="338"/>
      <c r="K88" s="61" t="s">
        <v>70</v>
      </c>
      <c r="L88" s="248" t="s">
        <v>450</v>
      </c>
      <c r="M88" s="91" t="s">
        <v>451</v>
      </c>
      <c r="N88" s="92">
        <v>1</v>
      </c>
      <c r="O88" s="92">
        <v>1</v>
      </c>
      <c r="P88" s="93">
        <f t="shared" si="2"/>
        <v>1</v>
      </c>
      <c r="Q88" s="93">
        <v>1</v>
      </c>
      <c r="R88" s="93" t="s">
        <v>528</v>
      </c>
      <c r="S88" s="253" t="s">
        <v>44</v>
      </c>
    </row>
    <row r="89" spans="1:19" ht="12.95" customHeight="1" x14ac:dyDescent="0.25">
      <c r="A89" s="290"/>
      <c r="B89" s="336"/>
      <c r="C89" s="345"/>
      <c r="D89" s="348"/>
      <c r="E89" s="377"/>
      <c r="F89" s="363"/>
      <c r="G89" s="366" t="s">
        <v>265</v>
      </c>
      <c r="H89" s="373" t="s">
        <v>452</v>
      </c>
      <c r="I89" s="366">
        <v>1</v>
      </c>
      <c r="J89" s="397">
        <f>B69</f>
        <v>1</v>
      </c>
      <c r="K89" s="80" t="s">
        <v>77</v>
      </c>
      <c r="L89" s="249" t="s">
        <v>453</v>
      </c>
      <c r="M89" s="95" t="s">
        <v>454</v>
      </c>
      <c r="N89" s="96">
        <v>1</v>
      </c>
      <c r="O89" s="96">
        <v>1</v>
      </c>
      <c r="P89" s="46">
        <f t="shared" si="2"/>
        <v>1</v>
      </c>
      <c r="Q89" s="239">
        <v>0.4</v>
      </c>
      <c r="R89" s="239" t="s">
        <v>506</v>
      </c>
      <c r="S89" s="254" t="s">
        <v>44</v>
      </c>
    </row>
    <row r="90" spans="1:19" ht="12.95" customHeight="1" thickBot="1" x14ac:dyDescent="0.3">
      <c r="A90" s="290"/>
      <c r="B90" s="336"/>
      <c r="C90" s="345"/>
      <c r="D90" s="348"/>
      <c r="E90" s="377"/>
      <c r="F90" s="363"/>
      <c r="G90" s="365"/>
      <c r="H90" s="374"/>
      <c r="I90" s="365"/>
      <c r="J90" s="338"/>
      <c r="K90" s="61" t="s">
        <v>78</v>
      </c>
      <c r="L90" s="248" t="s">
        <v>455</v>
      </c>
      <c r="M90" s="97" t="s">
        <v>456</v>
      </c>
      <c r="N90" s="92">
        <v>1</v>
      </c>
      <c r="O90" s="92">
        <v>1</v>
      </c>
      <c r="P90" s="92">
        <f t="shared" si="2"/>
        <v>1</v>
      </c>
      <c r="Q90" s="92">
        <v>0.2</v>
      </c>
      <c r="R90" s="92" t="s">
        <v>506</v>
      </c>
      <c r="S90" s="253" t="s">
        <v>44</v>
      </c>
    </row>
    <row r="91" spans="1:19" ht="12.95" customHeight="1" thickBot="1" x14ac:dyDescent="0.3">
      <c r="A91" s="290"/>
      <c r="B91" s="336"/>
      <c r="C91" s="345"/>
      <c r="D91" s="348"/>
      <c r="E91" s="377"/>
      <c r="F91" s="363"/>
      <c r="G91" s="98" t="s">
        <v>44</v>
      </c>
      <c r="H91" s="98" t="s">
        <v>44</v>
      </c>
      <c r="I91" s="98" t="s">
        <v>44</v>
      </c>
      <c r="J91" s="98" t="s">
        <v>44</v>
      </c>
      <c r="K91" s="99" t="s">
        <v>79</v>
      </c>
      <c r="L91" s="250" t="s">
        <v>457</v>
      </c>
      <c r="M91" s="100" t="s">
        <v>458</v>
      </c>
      <c r="N91" s="101">
        <v>1</v>
      </c>
      <c r="O91" s="101">
        <v>1</v>
      </c>
      <c r="P91" s="92">
        <f t="shared" si="2"/>
        <v>1</v>
      </c>
      <c r="Q91" s="236">
        <v>1</v>
      </c>
      <c r="R91" s="236" t="s">
        <v>528</v>
      </c>
      <c r="S91" s="255" t="s">
        <v>44</v>
      </c>
    </row>
    <row r="92" spans="1:19" ht="12.95" customHeight="1" x14ac:dyDescent="0.25">
      <c r="A92" s="290"/>
      <c r="B92" s="336"/>
      <c r="C92" s="345"/>
      <c r="D92" s="348"/>
      <c r="E92" s="377"/>
      <c r="F92" s="363"/>
      <c r="G92" s="375" t="s">
        <v>268</v>
      </c>
      <c r="H92" s="375" t="s">
        <v>310</v>
      </c>
      <c r="I92" s="375">
        <v>1</v>
      </c>
      <c r="J92" s="398">
        <f>B69</f>
        <v>1</v>
      </c>
      <c r="K92" s="80" t="s">
        <v>80</v>
      </c>
      <c r="L92" s="249" t="s">
        <v>459</v>
      </c>
      <c r="M92" s="44" t="s">
        <v>460</v>
      </c>
      <c r="N92" s="96">
        <v>7</v>
      </c>
      <c r="O92" s="96">
        <v>7</v>
      </c>
      <c r="P92" s="46">
        <f t="shared" si="2"/>
        <v>7</v>
      </c>
      <c r="Q92" s="239">
        <v>7</v>
      </c>
      <c r="R92" s="239" t="s">
        <v>528</v>
      </c>
      <c r="S92" s="254" t="s">
        <v>44</v>
      </c>
    </row>
    <row r="93" spans="1:19" ht="12.95" customHeight="1" x14ac:dyDescent="0.25">
      <c r="A93" s="290"/>
      <c r="B93" s="336"/>
      <c r="C93" s="345"/>
      <c r="D93" s="348"/>
      <c r="E93" s="377"/>
      <c r="F93" s="363"/>
      <c r="G93" s="290"/>
      <c r="H93" s="290"/>
      <c r="I93" s="290"/>
      <c r="J93" s="336"/>
      <c r="K93" s="117" t="s">
        <v>461</v>
      </c>
      <c r="L93" s="251" t="s">
        <v>462</v>
      </c>
      <c r="M93" s="44" t="s">
        <v>365</v>
      </c>
      <c r="N93" s="70">
        <v>7</v>
      </c>
      <c r="O93" s="70">
        <v>7</v>
      </c>
      <c r="P93" s="46">
        <f t="shared" si="2"/>
        <v>7</v>
      </c>
      <c r="Q93" s="46">
        <v>7</v>
      </c>
      <c r="R93" s="46" t="s">
        <v>528</v>
      </c>
      <c r="S93" s="256" t="s">
        <v>44</v>
      </c>
    </row>
    <row r="94" spans="1:19" ht="12.95" customHeight="1" x14ac:dyDescent="0.25">
      <c r="A94" s="290"/>
      <c r="B94" s="336"/>
      <c r="C94" s="345"/>
      <c r="D94" s="348"/>
      <c r="E94" s="377"/>
      <c r="F94" s="363"/>
      <c r="G94" s="290"/>
      <c r="H94" s="290"/>
      <c r="I94" s="290"/>
      <c r="J94" s="336"/>
      <c r="K94" s="117" t="s">
        <v>463</v>
      </c>
      <c r="L94" s="251" t="s">
        <v>464</v>
      </c>
      <c r="M94" s="102" t="s">
        <v>275</v>
      </c>
      <c r="N94" s="70">
        <v>7</v>
      </c>
      <c r="O94" s="70">
        <v>7</v>
      </c>
      <c r="P94" s="46">
        <f t="shared" si="2"/>
        <v>7</v>
      </c>
      <c r="Q94" s="239">
        <v>7</v>
      </c>
      <c r="R94" s="46" t="s">
        <v>528</v>
      </c>
      <c r="S94" s="257" t="s">
        <v>44</v>
      </c>
    </row>
    <row r="95" spans="1:19" ht="12.95" customHeight="1" x14ac:dyDescent="0.25">
      <c r="A95" s="291"/>
      <c r="B95" s="343"/>
      <c r="C95" s="346"/>
      <c r="D95" s="349"/>
      <c r="E95" s="378"/>
      <c r="F95" s="364"/>
      <c r="G95" s="291"/>
      <c r="H95" s="291"/>
      <c r="I95" s="291"/>
      <c r="J95" s="343"/>
      <c r="K95" s="48" t="s">
        <v>465</v>
      </c>
      <c r="L95" s="246" t="s">
        <v>84</v>
      </c>
      <c r="M95" s="44" t="s">
        <v>276</v>
      </c>
      <c r="N95" s="45">
        <v>7</v>
      </c>
      <c r="O95" s="45">
        <v>7</v>
      </c>
      <c r="P95" s="46">
        <f t="shared" si="2"/>
        <v>7</v>
      </c>
      <c r="Q95" s="46">
        <v>7</v>
      </c>
      <c r="R95" s="46" t="s">
        <v>528</v>
      </c>
      <c r="S95" s="256" t="s">
        <v>44</v>
      </c>
    </row>
    <row r="96" spans="1:19" ht="3" customHeight="1" x14ac:dyDescent="0.25">
      <c r="A96" s="105"/>
      <c r="B96" s="105"/>
      <c r="C96" s="106"/>
      <c r="D96" s="107"/>
      <c r="E96" s="56"/>
      <c r="F96" s="108"/>
      <c r="G96" s="105"/>
      <c r="H96" s="105"/>
      <c r="I96" s="105"/>
      <c r="J96" s="105"/>
      <c r="K96" s="56"/>
      <c r="L96" s="59"/>
      <c r="M96" s="109"/>
      <c r="N96" s="59"/>
      <c r="O96" s="59"/>
      <c r="P96" s="60"/>
      <c r="Q96" s="60"/>
      <c r="R96" s="60"/>
      <c r="S96" s="252" t="s">
        <v>44</v>
      </c>
    </row>
    <row r="97" spans="1:19" ht="12.95" customHeight="1" x14ac:dyDescent="0.25">
      <c r="A97" s="105"/>
      <c r="B97" s="105"/>
      <c r="C97" s="106"/>
      <c r="D97" s="107"/>
      <c r="E97" s="56"/>
      <c r="F97" s="108"/>
      <c r="G97" s="105"/>
      <c r="H97" s="105"/>
      <c r="I97" s="105"/>
      <c r="J97" s="105"/>
      <c r="K97" s="56"/>
      <c r="L97" s="59"/>
      <c r="M97" s="109"/>
      <c r="N97" s="59"/>
      <c r="O97" s="59"/>
      <c r="P97" s="60"/>
      <c r="Q97" s="60"/>
      <c r="R97" s="60"/>
      <c r="S97" s="55"/>
    </row>
    <row r="98" spans="1:19" ht="12.95" customHeight="1" x14ac:dyDescent="0.25">
      <c r="A98" s="105"/>
      <c r="B98" s="105"/>
      <c r="C98" s="106"/>
      <c r="D98" s="107"/>
      <c r="E98" s="56"/>
      <c r="F98" s="108"/>
      <c r="G98" s="105"/>
      <c r="H98" s="105"/>
      <c r="I98" s="105"/>
      <c r="J98" s="105"/>
      <c r="K98" s="56"/>
      <c r="L98" s="59"/>
      <c r="M98" s="109"/>
      <c r="N98" s="59"/>
      <c r="O98" s="59"/>
      <c r="P98" s="60"/>
      <c r="Q98" s="60"/>
      <c r="R98" s="60"/>
      <c r="S98" s="55"/>
    </row>
    <row r="99" spans="1:19" ht="12.95" customHeight="1" x14ac:dyDescent="0.25">
      <c r="A99" s="105"/>
      <c r="B99" s="105"/>
      <c r="C99" s="106"/>
      <c r="D99" s="107"/>
      <c r="E99" s="56"/>
      <c r="F99" s="108"/>
      <c r="G99" s="105"/>
      <c r="H99" s="105"/>
      <c r="I99" s="105"/>
      <c r="J99" s="105"/>
      <c r="K99" s="56"/>
      <c r="L99" s="59"/>
      <c r="M99" s="109"/>
      <c r="N99" s="59"/>
      <c r="O99" s="59"/>
      <c r="P99" s="60"/>
      <c r="Q99" s="60"/>
      <c r="R99" s="60"/>
      <c r="S99" s="55"/>
    </row>
    <row r="100" spans="1:19" ht="12.95" customHeight="1" x14ac:dyDescent="0.25">
      <c r="A100" s="105"/>
      <c r="B100" s="105"/>
      <c r="C100" s="106"/>
      <c r="D100" s="107"/>
      <c r="E100" s="56"/>
      <c r="F100" s="108"/>
      <c r="G100" s="105"/>
      <c r="H100" s="105"/>
      <c r="I100" s="105"/>
      <c r="J100" s="105"/>
      <c r="K100" s="56"/>
      <c r="L100" s="59"/>
      <c r="M100" s="109"/>
      <c r="N100" s="59"/>
      <c r="O100" s="59"/>
      <c r="P100" s="60"/>
      <c r="Q100" s="60"/>
      <c r="R100" s="60"/>
      <c r="S100" s="55"/>
    </row>
    <row r="101" spans="1:19" ht="7.5" customHeight="1" x14ac:dyDescent="0.25"/>
    <row r="105" spans="1:19" ht="12" customHeight="1" x14ac:dyDescent="0.25"/>
    <row r="106" spans="1:19" ht="19.5" x14ac:dyDescent="0.25">
      <c r="A106" s="284" t="s">
        <v>0</v>
      </c>
      <c r="B106" s="285"/>
      <c r="C106" s="11"/>
      <c r="D106" s="12"/>
      <c r="E106" s="12" t="s">
        <v>14</v>
      </c>
      <c r="F106" s="13"/>
      <c r="G106" s="12"/>
      <c r="H106" s="12" t="s">
        <v>13</v>
      </c>
      <c r="I106" s="12"/>
      <c r="J106" s="13"/>
      <c r="K106" s="11"/>
      <c r="L106" s="12"/>
      <c r="M106" s="6" t="s">
        <v>1</v>
      </c>
      <c r="N106" s="12"/>
      <c r="O106" s="12"/>
      <c r="P106" s="12"/>
      <c r="Q106" s="21"/>
      <c r="R106" s="21"/>
      <c r="S106" s="17" t="s">
        <v>15</v>
      </c>
    </row>
    <row r="107" spans="1:19" ht="60" x14ac:dyDescent="0.25">
      <c r="A107" s="29" t="s">
        <v>2</v>
      </c>
      <c r="B107" s="30" t="s">
        <v>3</v>
      </c>
      <c r="C107" s="30" t="s">
        <v>4</v>
      </c>
      <c r="D107" s="31" t="s">
        <v>5</v>
      </c>
      <c r="E107" s="30" t="s">
        <v>6</v>
      </c>
      <c r="F107" s="30" t="s">
        <v>3</v>
      </c>
      <c r="G107" s="30" t="s">
        <v>10</v>
      </c>
      <c r="H107" s="30" t="s">
        <v>5</v>
      </c>
      <c r="I107" s="30" t="s">
        <v>12</v>
      </c>
      <c r="J107" s="30" t="s">
        <v>11</v>
      </c>
      <c r="K107" s="32" t="s">
        <v>7</v>
      </c>
      <c r="L107" s="31" t="s">
        <v>5</v>
      </c>
      <c r="M107" s="31" t="s">
        <v>9</v>
      </c>
      <c r="N107" s="30" t="s">
        <v>8</v>
      </c>
      <c r="O107" s="30" t="s">
        <v>6</v>
      </c>
      <c r="P107" s="30" t="s">
        <v>3</v>
      </c>
      <c r="Q107" s="30" t="s">
        <v>686</v>
      </c>
      <c r="R107" s="30" t="s">
        <v>18</v>
      </c>
      <c r="S107" s="31" t="s">
        <v>16</v>
      </c>
    </row>
    <row r="108" spans="1:19" x14ac:dyDescent="0.25">
      <c r="A108" s="350" t="s">
        <v>383</v>
      </c>
      <c r="B108" s="353">
        <v>1</v>
      </c>
      <c r="C108" s="350" t="s">
        <v>268</v>
      </c>
      <c r="D108" s="356" t="s">
        <v>466</v>
      </c>
      <c r="E108" s="359" t="s">
        <v>19</v>
      </c>
      <c r="F108" s="353">
        <f>B108</f>
        <v>1</v>
      </c>
      <c r="G108" s="110" t="s">
        <v>44</v>
      </c>
      <c r="H108" s="110" t="s">
        <v>44</v>
      </c>
      <c r="I108" s="111" t="s">
        <v>44</v>
      </c>
      <c r="J108" s="111" t="s">
        <v>44</v>
      </c>
      <c r="K108" s="117" t="s">
        <v>19</v>
      </c>
      <c r="L108" s="245" t="s">
        <v>467</v>
      </c>
      <c r="M108" s="86" t="s">
        <v>373</v>
      </c>
      <c r="N108" s="86">
        <v>1</v>
      </c>
      <c r="O108" s="70">
        <v>1</v>
      </c>
      <c r="P108" s="70">
        <f>O108*B$108</f>
        <v>1</v>
      </c>
      <c r="Q108" s="70">
        <v>0.7</v>
      </c>
      <c r="R108" s="70" t="s">
        <v>506</v>
      </c>
      <c r="S108" s="54"/>
    </row>
    <row r="109" spans="1:19" x14ac:dyDescent="0.25">
      <c r="A109" s="351"/>
      <c r="B109" s="354"/>
      <c r="C109" s="351"/>
      <c r="D109" s="357"/>
      <c r="E109" s="360"/>
      <c r="F109" s="354"/>
      <c r="G109" s="387" t="s">
        <v>260</v>
      </c>
      <c r="H109" s="387" t="s">
        <v>468</v>
      </c>
      <c r="I109" s="390" t="s">
        <v>19</v>
      </c>
      <c r="J109" s="362">
        <f>B108</f>
        <v>1</v>
      </c>
      <c r="K109" s="48" t="s">
        <v>21</v>
      </c>
      <c r="L109" s="242" t="s">
        <v>469</v>
      </c>
      <c r="M109" s="102" t="s">
        <v>470</v>
      </c>
      <c r="N109" s="86">
        <v>1</v>
      </c>
      <c r="O109" s="45">
        <v>1</v>
      </c>
      <c r="P109" s="70">
        <f t="shared" ref="P109:P125" si="3">O109*B$108</f>
        <v>1</v>
      </c>
      <c r="Q109" s="70">
        <v>1</v>
      </c>
      <c r="R109" s="70" t="s">
        <v>528</v>
      </c>
      <c r="S109" s="54"/>
    </row>
    <row r="110" spans="1:19" x14ac:dyDescent="0.25">
      <c r="A110" s="351"/>
      <c r="B110" s="354"/>
      <c r="C110" s="351"/>
      <c r="D110" s="357"/>
      <c r="E110" s="360"/>
      <c r="F110" s="354"/>
      <c r="G110" s="388"/>
      <c r="H110" s="388"/>
      <c r="I110" s="391"/>
      <c r="J110" s="363"/>
      <c r="K110" s="48" t="s">
        <v>23</v>
      </c>
      <c r="L110" s="242" t="s">
        <v>471</v>
      </c>
      <c r="M110" s="102" t="s">
        <v>472</v>
      </c>
      <c r="N110" s="86">
        <v>1</v>
      </c>
      <c r="O110" s="45">
        <v>1</v>
      </c>
      <c r="P110" s="70">
        <f t="shared" si="3"/>
        <v>1</v>
      </c>
      <c r="Q110" s="70">
        <v>1</v>
      </c>
      <c r="R110" s="70" t="s">
        <v>528</v>
      </c>
      <c r="S110" s="54"/>
    </row>
    <row r="111" spans="1:19" x14ac:dyDescent="0.25">
      <c r="A111" s="351"/>
      <c r="B111" s="354"/>
      <c r="C111" s="351"/>
      <c r="D111" s="357"/>
      <c r="E111" s="360"/>
      <c r="F111" s="354"/>
      <c r="G111" s="388"/>
      <c r="H111" s="388"/>
      <c r="I111" s="391"/>
      <c r="J111" s="363"/>
      <c r="K111" s="117" t="s">
        <v>26</v>
      </c>
      <c r="L111" s="242" t="s">
        <v>473</v>
      </c>
      <c r="M111" s="86" t="s">
        <v>474</v>
      </c>
      <c r="N111" s="86">
        <v>1</v>
      </c>
      <c r="O111" s="45">
        <v>1</v>
      </c>
      <c r="P111" s="70">
        <f t="shared" si="3"/>
        <v>1</v>
      </c>
      <c r="Q111" s="70">
        <v>0.4</v>
      </c>
      <c r="R111" s="70" t="s">
        <v>506</v>
      </c>
      <c r="S111" s="54"/>
    </row>
    <row r="112" spans="1:19" x14ac:dyDescent="0.25">
      <c r="A112" s="351"/>
      <c r="B112" s="354"/>
      <c r="C112" s="351"/>
      <c r="D112" s="357"/>
      <c r="E112" s="360"/>
      <c r="F112" s="354"/>
      <c r="G112" s="388"/>
      <c r="H112" s="388"/>
      <c r="I112" s="391"/>
      <c r="J112" s="363"/>
      <c r="K112" s="48" t="s">
        <v>29</v>
      </c>
      <c r="L112" s="242" t="s">
        <v>475</v>
      </c>
      <c r="M112" s="86" t="s">
        <v>476</v>
      </c>
      <c r="N112" s="86">
        <v>1</v>
      </c>
      <c r="O112" s="45">
        <v>1</v>
      </c>
      <c r="P112" s="70">
        <f t="shared" si="3"/>
        <v>1</v>
      </c>
      <c r="Q112" s="70">
        <v>0.25</v>
      </c>
      <c r="R112" s="70" t="s">
        <v>506</v>
      </c>
      <c r="S112" s="54"/>
    </row>
    <row r="113" spans="1:19" x14ac:dyDescent="0.25">
      <c r="A113" s="351"/>
      <c r="B113" s="354"/>
      <c r="C113" s="351"/>
      <c r="D113" s="357"/>
      <c r="E113" s="360"/>
      <c r="F113" s="354"/>
      <c r="G113" s="388"/>
      <c r="H113" s="388"/>
      <c r="I113" s="391"/>
      <c r="J113" s="363"/>
      <c r="K113" s="48" t="s">
        <v>32</v>
      </c>
      <c r="L113" s="242" t="s">
        <v>477</v>
      </c>
      <c r="M113" s="86" t="s">
        <v>478</v>
      </c>
      <c r="N113" s="86">
        <v>2</v>
      </c>
      <c r="O113" s="45">
        <v>2</v>
      </c>
      <c r="P113" s="70">
        <f t="shared" si="3"/>
        <v>2</v>
      </c>
      <c r="Q113" s="70">
        <v>2</v>
      </c>
      <c r="R113" s="70" t="s">
        <v>528</v>
      </c>
      <c r="S113" s="54"/>
    </row>
    <row r="114" spans="1:19" x14ac:dyDescent="0.25">
      <c r="A114" s="351"/>
      <c r="B114" s="354"/>
      <c r="C114" s="351"/>
      <c r="D114" s="357"/>
      <c r="E114" s="360"/>
      <c r="F114" s="354"/>
      <c r="G114" s="388"/>
      <c r="H114" s="388"/>
      <c r="I114" s="391"/>
      <c r="J114" s="363"/>
      <c r="K114" s="117" t="s">
        <v>35</v>
      </c>
      <c r="L114" s="242" t="s">
        <v>479</v>
      </c>
      <c r="M114" s="86" t="s">
        <v>480</v>
      </c>
      <c r="N114" s="86">
        <v>2</v>
      </c>
      <c r="O114" s="45">
        <v>2</v>
      </c>
      <c r="P114" s="70">
        <f t="shared" si="3"/>
        <v>2</v>
      </c>
      <c r="Q114" s="70">
        <v>2</v>
      </c>
      <c r="R114" s="70" t="s">
        <v>528</v>
      </c>
      <c r="S114" s="54"/>
    </row>
    <row r="115" spans="1:19" x14ac:dyDescent="0.25">
      <c r="A115" s="351"/>
      <c r="B115" s="354"/>
      <c r="C115" s="351"/>
      <c r="D115" s="357"/>
      <c r="E115" s="360"/>
      <c r="F115" s="354"/>
      <c r="G115" s="388"/>
      <c r="H115" s="388"/>
      <c r="I115" s="391"/>
      <c r="J115" s="363"/>
      <c r="K115" s="48" t="s">
        <v>37</v>
      </c>
      <c r="L115" s="242" t="s">
        <v>481</v>
      </c>
      <c r="M115" s="86" t="s">
        <v>85</v>
      </c>
      <c r="N115" s="86">
        <v>2</v>
      </c>
      <c r="O115" s="45">
        <v>2</v>
      </c>
      <c r="P115" s="70">
        <f t="shared" si="3"/>
        <v>2</v>
      </c>
      <c r="Q115" s="70">
        <v>2</v>
      </c>
      <c r="R115" s="70" t="s">
        <v>528</v>
      </c>
      <c r="S115" s="54"/>
    </row>
    <row r="116" spans="1:19" x14ac:dyDescent="0.25">
      <c r="A116" s="351"/>
      <c r="B116" s="354"/>
      <c r="C116" s="351"/>
      <c r="D116" s="357"/>
      <c r="E116" s="360"/>
      <c r="F116" s="354"/>
      <c r="G116" s="388"/>
      <c r="H116" s="388"/>
      <c r="I116" s="391"/>
      <c r="J116" s="363"/>
      <c r="K116" s="48" t="s">
        <v>40</v>
      </c>
      <c r="L116" s="242" t="s">
        <v>482</v>
      </c>
      <c r="M116" s="114" t="s">
        <v>483</v>
      </c>
      <c r="N116" s="86">
        <v>2</v>
      </c>
      <c r="O116" s="45">
        <v>2</v>
      </c>
      <c r="P116" s="70">
        <f t="shared" si="3"/>
        <v>2</v>
      </c>
      <c r="Q116" s="70">
        <v>2</v>
      </c>
      <c r="R116" s="70" t="s">
        <v>528</v>
      </c>
      <c r="S116" s="54"/>
    </row>
    <row r="117" spans="1:19" x14ac:dyDescent="0.25">
      <c r="A117" s="351"/>
      <c r="B117" s="354"/>
      <c r="C117" s="351"/>
      <c r="D117" s="357"/>
      <c r="E117" s="360"/>
      <c r="F117" s="354"/>
      <c r="G117" s="389"/>
      <c r="H117" s="389"/>
      <c r="I117" s="392"/>
      <c r="J117" s="364"/>
      <c r="K117" s="117" t="s">
        <v>51</v>
      </c>
      <c r="L117" s="242" t="s">
        <v>484</v>
      </c>
      <c r="M117" s="114" t="s">
        <v>485</v>
      </c>
      <c r="N117" s="86">
        <v>2</v>
      </c>
      <c r="O117" s="45">
        <v>2</v>
      </c>
      <c r="P117" s="70">
        <f t="shared" si="3"/>
        <v>2</v>
      </c>
      <c r="Q117" s="70">
        <v>2</v>
      </c>
      <c r="R117" s="70" t="s">
        <v>528</v>
      </c>
      <c r="S117" s="54"/>
    </row>
    <row r="118" spans="1:19" x14ac:dyDescent="0.25">
      <c r="A118" s="351"/>
      <c r="B118" s="354"/>
      <c r="C118" s="351"/>
      <c r="D118" s="357"/>
      <c r="E118" s="360"/>
      <c r="F118" s="354"/>
      <c r="G118" s="393" t="s">
        <v>265</v>
      </c>
      <c r="H118" s="393" t="s">
        <v>486</v>
      </c>
      <c r="I118" s="395" t="s">
        <v>19</v>
      </c>
      <c r="J118" s="376">
        <f>B108</f>
        <v>1</v>
      </c>
      <c r="K118" s="48" t="s">
        <v>52</v>
      </c>
      <c r="L118" s="242" t="s">
        <v>487</v>
      </c>
      <c r="M118" s="102" t="s">
        <v>472</v>
      </c>
      <c r="N118" s="86">
        <v>1</v>
      </c>
      <c r="O118" s="45">
        <v>1</v>
      </c>
      <c r="P118" s="70">
        <f t="shared" si="3"/>
        <v>1</v>
      </c>
      <c r="Q118" s="70">
        <v>1</v>
      </c>
      <c r="R118" s="70" t="s">
        <v>528</v>
      </c>
      <c r="S118" s="54"/>
    </row>
    <row r="119" spans="1:19" x14ac:dyDescent="0.25">
      <c r="A119" s="351"/>
      <c r="B119" s="354"/>
      <c r="C119" s="351"/>
      <c r="D119" s="357"/>
      <c r="E119" s="360"/>
      <c r="F119" s="354"/>
      <c r="G119" s="394"/>
      <c r="H119" s="394"/>
      <c r="I119" s="396"/>
      <c r="J119" s="378"/>
      <c r="K119" s="48" t="s">
        <v>53</v>
      </c>
      <c r="L119" s="258" t="s">
        <v>488</v>
      </c>
      <c r="M119" s="77" t="s">
        <v>373</v>
      </c>
      <c r="N119" s="77">
        <v>1</v>
      </c>
      <c r="O119" s="89">
        <v>1</v>
      </c>
      <c r="P119" s="70">
        <f t="shared" si="3"/>
        <v>1</v>
      </c>
      <c r="Q119" s="70">
        <v>0.5</v>
      </c>
      <c r="R119" s="70" t="s">
        <v>506</v>
      </c>
      <c r="S119" s="54"/>
    </row>
    <row r="120" spans="1:19" x14ac:dyDescent="0.25">
      <c r="A120" s="351"/>
      <c r="B120" s="354"/>
      <c r="C120" s="351"/>
      <c r="D120" s="357"/>
      <c r="E120" s="360"/>
      <c r="F120" s="354"/>
      <c r="G120" s="118" t="s">
        <v>44</v>
      </c>
      <c r="H120" s="118" t="s">
        <v>44</v>
      </c>
      <c r="I120" s="119" t="s">
        <v>44</v>
      </c>
      <c r="J120" s="119" t="s">
        <v>44</v>
      </c>
      <c r="K120" s="117" t="s">
        <v>57</v>
      </c>
      <c r="L120" s="242" t="s">
        <v>489</v>
      </c>
      <c r="M120" s="44" t="s">
        <v>490</v>
      </c>
      <c r="N120" s="77">
        <v>1</v>
      </c>
      <c r="O120" s="89">
        <v>1</v>
      </c>
      <c r="P120" s="70">
        <f t="shared" si="3"/>
        <v>1</v>
      </c>
      <c r="Q120" s="70">
        <v>1</v>
      </c>
      <c r="R120" s="70" t="s">
        <v>528</v>
      </c>
      <c r="S120" s="54"/>
    </row>
    <row r="121" spans="1:19" x14ac:dyDescent="0.25">
      <c r="A121" s="351"/>
      <c r="B121" s="354"/>
      <c r="C121" s="351"/>
      <c r="D121" s="357"/>
      <c r="E121" s="360"/>
      <c r="F121" s="354"/>
      <c r="G121" s="118" t="s">
        <v>44</v>
      </c>
      <c r="H121" s="118" t="s">
        <v>44</v>
      </c>
      <c r="I121" s="119" t="s">
        <v>44</v>
      </c>
      <c r="J121" s="119" t="s">
        <v>44</v>
      </c>
      <c r="K121" s="48" t="s">
        <v>58</v>
      </c>
      <c r="L121" s="242" t="s">
        <v>491</v>
      </c>
      <c r="M121" s="102" t="s">
        <v>492</v>
      </c>
      <c r="N121" s="77">
        <v>2</v>
      </c>
      <c r="O121" s="89">
        <v>2</v>
      </c>
      <c r="P121" s="70">
        <f t="shared" si="3"/>
        <v>2</v>
      </c>
      <c r="Q121" s="70">
        <v>2</v>
      </c>
      <c r="R121" s="70" t="s">
        <v>528</v>
      </c>
      <c r="S121" s="54"/>
    </row>
    <row r="122" spans="1:19" ht="28.5" x14ac:dyDescent="0.25">
      <c r="A122" s="351"/>
      <c r="B122" s="354"/>
      <c r="C122" s="351"/>
      <c r="D122" s="357"/>
      <c r="E122" s="360"/>
      <c r="F122" s="354"/>
      <c r="G122" s="367" t="s">
        <v>268</v>
      </c>
      <c r="H122" s="370" t="s">
        <v>493</v>
      </c>
      <c r="I122" s="381" t="s">
        <v>19</v>
      </c>
      <c r="J122" s="384">
        <f>B108</f>
        <v>1</v>
      </c>
      <c r="K122" s="48" t="s">
        <v>65</v>
      </c>
      <c r="L122" s="259" t="s">
        <v>494</v>
      </c>
      <c r="M122" s="120" t="s">
        <v>495</v>
      </c>
      <c r="N122" s="77">
        <v>1</v>
      </c>
      <c r="O122" s="89">
        <v>1</v>
      </c>
      <c r="P122" s="70">
        <f t="shared" si="3"/>
        <v>1</v>
      </c>
      <c r="Q122" s="70">
        <v>1.2</v>
      </c>
      <c r="R122" s="70" t="s">
        <v>506</v>
      </c>
      <c r="S122" s="54"/>
    </row>
    <row r="123" spans="1:19" x14ac:dyDescent="0.25">
      <c r="A123" s="351"/>
      <c r="B123" s="354"/>
      <c r="C123" s="351"/>
      <c r="D123" s="357"/>
      <c r="E123" s="360"/>
      <c r="F123" s="354"/>
      <c r="G123" s="368"/>
      <c r="H123" s="371"/>
      <c r="I123" s="382"/>
      <c r="J123" s="385"/>
      <c r="K123" s="117" t="s">
        <v>66</v>
      </c>
      <c r="L123" s="259" t="s">
        <v>496</v>
      </c>
      <c r="M123" s="122" t="s">
        <v>497</v>
      </c>
      <c r="N123" s="77">
        <v>1</v>
      </c>
      <c r="O123" s="89">
        <v>1</v>
      </c>
      <c r="P123" s="70">
        <f t="shared" si="3"/>
        <v>1</v>
      </c>
      <c r="Q123" s="70">
        <v>0.8</v>
      </c>
      <c r="R123" s="70" t="s">
        <v>506</v>
      </c>
      <c r="S123" s="54"/>
    </row>
    <row r="124" spans="1:19" ht="28.5" x14ac:dyDescent="0.25">
      <c r="A124" s="351"/>
      <c r="B124" s="354"/>
      <c r="C124" s="351"/>
      <c r="D124" s="357"/>
      <c r="E124" s="360"/>
      <c r="F124" s="354"/>
      <c r="G124" s="368"/>
      <c r="H124" s="371"/>
      <c r="I124" s="382"/>
      <c r="J124" s="385"/>
      <c r="K124" s="48" t="s">
        <v>67</v>
      </c>
      <c r="L124" s="259" t="s">
        <v>498</v>
      </c>
      <c r="M124" s="102" t="s">
        <v>499</v>
      </c>
      <c r="N124" s="77">
        <v>1</v>
      </c>
      <c r="O124" s="89">
        <v>1</v>
      </c>
      <c r="P124" s="70">
        <f t="shared" si="3"/>
        <v>1</v>
      </c>
      <c r="Q124" s="70">
        <v>1</v>
      </c>
      <c r="R124" s="70" t="s">
        <v>528</v>
      </c>
      <c r="S124" s="54"/>
    </row>
    <row r="125" spans="1:19" ht="28.5" x14ac:dyDescent="0.25">
      <c r="A125" s="352"/>
      <c r="B125" s="355"/>
      <c r="C125" s="352"/>
      <c r="D125" s="358"/>
      <c r="E125" s="361"/>
      <c r="F125" s="355"/>
      <c r="G125" s="369"/>
      <c r="H125" s="372"/>
      <c r="I125" s="383"/>
      <c r="J125" s="386"/>
      <c r="K125" s="48" t="s">
        <v>68</v>
      </c>
      <c r="L125" s="259" t="s">
        <v>500</v>
      </c>
      <c r="M125" s="120" t="s">
        <v>501</v>
      </c>
      <c r="N125" s="77">
        <v>1</v>
      </c>
      <c r="O125" s="45">
        <v>1</v>
      </c>
      <c r="P125" s="70">
        <f t="shared" si="3"/>
        <v>1</v>
      </c>
      <c r="Q125" s="70">
        <v>0.7</v>
      </c>
      <c r="R125" s="70" t="s">
        <v>506</v>
      </c>
      <c r="S125" s="54"/>
    </row>
    <row r="128" spans="1:19" ht="16.5" customHeight="1" x14ac:dyDescent="0.25"/>
    <row r="129" ht="25.5" customHeight="1" x14ac:dyDescent="0.25"/>
  </sheetData>
  <mergeCells count="65">
    <mergeCell ref="K6:R6"/>
    <mergeCell ref="I122:I125"/>
    <mergeCell ref="J122:J125"/>
    <mergeCell ref="G109:G117"/>
    <mergeCell ref="H109:H117"/>
    <mergeCell ref="I109:I117"/>
    <mergeCell ref="J109:J117"/>
    <mergeCell ref="G118:G119"/>
    <mergeCell ref="H118:H119"/>
    <mergeCell ref="I118:I119"/>
    <mergeCell ref="J118:J119"/>
    <mergeCell ref="I89:I90"/>
    <mergeCell ref="J89:J90"/>
    <mergeCell ref="I92:I95"/>
    <mergeCell ref="J92:J95"/>
    <mergeCell ref="I69:I88"/>
    <mergeCell ref="E108:E125"/>
    <mergeCell ref="F108:F125"/>
    <mergeCell ref="F69:F95"/>
    <mergeCell ref="G69:G88"/>
    <mergeCell ref="H69:H88"/>
    <mergeCell ref="G89:G90"/>
    <mergeCell ref="G122:G125"/>
    <mergeCell ref="H122:H125"/>
    <mergeCell ref="H89:H90"/>
    <mergeCell ref="G92:G95"/>
    <mergeCell ref="E69:E95"/>
    <mergeCell ref="H92:H95"/>
    <mergeCell ref="A106:B106"/>
    <mergeCell ref="A108:A125"/>
    <mergeCell ref="B108:B125"/>
    <mergeCell ref="C108:C125"/>
    <mergeCell ref="D108:D125"/>
    <mergeCell ref="A67:B67"/>
    <mergeCell ref="A69:A95"/>
    <mergeCell ref="B69:B95"/>
    <mergeCell ref="C69:C95"/>
    <mergeCell ref="D69:D95"/>
    <mergeCell ref="J69:J88"/>
    <mergeCell ref="J40:J42"/>
    <mergeCell ref="G43:G44"/>
    <mergeCell ref="H43:H44"/>
    <mergeCell ref="I43:I44"/>
    <mergeCell ref="J43:J44"/>
    <mergeCell ref="A40:A47"/>
    <mergeCell ref="B40:B47"/>
    <mergeCell ref="C40:C47"/>
    <mergeCell ref="D40:D47"/>
    <mergeCell ref="E40:E47"/>
    <mergeCell ref="F40:F47"/>
    <mergeCell ref="F8:F19"/>
    <mergeCell ref="G8:G19"/>
    <mergeCell ref="H8:H19"/>
    <mergeCell ref="I8:I19"/>
    <mergeCell ref="G40:G42"/>
    <mergeCell ref="H40:H42"/>
    <mergeCell ref="I40:I42"/>
    <mergeCell ref="J8:J19"/>
    <mergeCell ref="A38:B38"/>
    <mergeCell ref="A6:B6"/>
    <mergeCell ref="A8:A19"/>
    <mergeCell ref="B8:B19"/>
    <mergeCell ref="C8:C19"/>
    <mergeCell ref="D8:D19"/>
    <mergeCell ref="E8:E19"/>
  </mergeCells>
  <pageMargins left="0.46195652173913043" right="0.7" top="0.625" bottom="0.64311594202898548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zoomScaleNormal="100" workbookViewId="0">
      <selection activeCell="M57" sqref="M41:M57"/>
    </sheetView>
  </sheetViews>
  <sheetFormatPr defaultRowHeight="15" x14ac:dyDescent="0.25"/>
  <cols>
    <col min="1" max="2" width="5" customWidth="1"/>
    <col min="3" max="3" width="5.140625" customWidth="1"/>
    <col min="4" max="4" width="5.28515625" customWidth="1"/>
    <col min="5" max="5" width="4.42578125" customWidth="1"/>
    <col min="6" max="6" width="5.28515625" customWidth="1"/>
    <col min="7" max="7" width="5.140625" customWidth="1"/>
    <col min="8" max="8" width="6.7109375" customWidth="1"/>
    <col min="9" max="9" width="14" customWidth="1"/>
    <col min="10" max="10" width="5.42578125" customWidth="1"/>
    <col min="11" max="11" width="5.5703125" customWidth="1"/>
    <col min="12" max="12" width="5" customWidth="1"/>
    <col min="13" max="13" width="14.42578125" customWidth="1"/>
    <col min="14" max="14" width="12.285156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284" t="s">
        <v>0</v>
      </c>
      <c r="B6" s="285"/>
      <c r="C6" s="285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9" ht="48.95" customHeight="1" x14ac:dyDescent="0.25">
      <c r="A7" s="20" t="s">
        <v>2</v>
      </c>
      <c r="B7" s="20" t="s">
        <v>502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9" ht="14.25" customHeight="1" x14ac:dyDescent="0.25">
      <c r="A8" s="387" t="s">
        <v>345</v>
      </c>
      <c r="B8" s="362">
        <v>15</v>
      </c>
      <c r="C8" s="362">
        <v>2</v>
      </c>
      <c r="D8" s="387" t="s">
        <v>268</v>
      </c>
      <c r="E8" s="376">
        <v>3400</v>
      </c>
      <c r="F8" s="393" t="s">
        <v>19</v>
      </c>
      <c r="G8" s="362">
        <f>C8*F8</f>
        <v>2</v>
      </c>
      <c r="H8" s="362" t="s">
        <v>260</v>
      </c>
      <c r="I8" s="412" t="s">
        <v>503</v>
      </c>
      <c r="J8" s="414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K8" s="362">
        <f>J8*G8</f>
        <v>12</v>
      </c>
      <c r="L8" s="477" t="s">
        <v>19</v>
      </c>
      <c r="M8" s="230" t="s">
        <v>504</v>
      </c>
      <c r="N8" s="126" t="s">
        <v>505</v>
      </c>
      <c r="O8" s="127">
        <f>2*$J$8</f>
        <v>12</v>
      </c>
      <c r="P8" s="127">
        <f>O8*$F$8</f>
        <v>12</v>
      </c>
      <c r="Q8" s="127">
        <f>P8*$C$8</f>
        <v>24</v>
      </c>
      <c r="R8" s="127">
        <f>7*$Q$8</f>
        <v>168</v>
      </c>
      <c r="S8" s="128" t="s">
        <v>506</v>
      </c>
      <c r="T8" s="129" t="s">
        <v>44</v>
      </c>
    </row>
    <row r="9" spans="1:29" ht="14.25" customHeight="1" x14ac:dyDescent="0.25">
      <c r="A9" s="388"/>
      <c r="B9" s="363"/>
      <c r="C9" s="363"/>
      <c r="D9" s="388"/>
      <c r="E9" s="377"/>
      <c r="F9" s="411"/>
      <c r="G9" s="363"/>
      <c r="H9" s="363"/>
      <c r="I9" s="412"/>
      <c r="J9" s="415"/>
      <c r="K9" s="363"/>
      <c r="L9" s="477" t="s">
        <v>21</v>
      </c>
      <c r="M9" s="230" t="s">
        <v>507</v>
      </c>
      <c r="N9" s="130" t="s">
        <v>508</v>
      </c>
      <c r="O9" s="127">
        <f t="shared" ref="O9:O10" si="0">2*$J$8</f>
        <v>12</v>
      </c>
      <c r="P9" s="127">
        <f t="shared" ref="P9:P26" si="1">O9*$F$8</f>
        <v>12</v>
      </c>
      <c r="Q9" s="127">
        <f t="shared" ref="Q9:Q26" si="2">P9*$C$8</f>
        <v>24</v>
      </c>
      <c r="R9" s="130">
        <f>7.2*Q9</f>
        <v>172.8</v>
      </c>
      <c r="S9" s="128" t="s">
        <v>506</v>
      </c>
      <c r="T9" s="131" t="s">
        <v>44</v>
      </c>
    </row>
    <row r="10" spans="1:29" ht="14.25" customHeight="1" x14ac:dyDescent="0.25">
      <c r="A10" s="388"/>
      <c r="B10" s="363"/>
      <c r="C10" s="363"/>
      <c r="D10" s="388"/>
      <c r="E10" s="377"/>
      <c r="F10" s="411"/>
      <c r="G10" s="363"/>
      <c r="H10" s="363"/>
      <c r="I10" s="412"/>
      <c r="J10" s="415"/>
      <c r="K10" s="363"/>
      <c r="L10" s="477" t="s">
        <v>23</v>
      </c>
      <c r="M10" s="230" t="s">
        <v>509</v>
      </c>
      <c r="N10" s="126" t="s">
        <v>510</v>
      </c>
      <c r="O10" s="127">
        <f t="shared" si="0"/>
        <v>12</v>
      </c>
      <c r="P10" s="127">
        <f t="shared" si="1"/>
        <v>12</v>
      </c>
      <c r="Q10" s="127">
        <f t="shared" si="2"/>
        <v>24</v>
      </c>
      <c r="R10" s="127">
        <f>3.6*Q10</f>
        <v>86.4</v>
      </c>
      <c r="S10" s="128" t="s">
        <v>506</v>
      </c>
      <c r="T10" s="131" t="s">
        <v>44</v>
      </c>
    </row>
    <row r="11" spans="1:29" ht="14.25" customHeight="1" thickBot="1" x14ac:dyDescent="0.3">
      <c r="A11" s="388"/>
      <c r="B11" s="363"/>
      <c r="C11" s="363"/>
      <c r="D11" s="388"/>
      <c r="E11" s="377"/>
      <c r="F11" s="411"/>
      <c r="G11" s="363"/>
      <c r="H11" s="403"/>
      <c r="I11" s="413"/>
      <c r="J11" s="416"/>
      <c r="K11" s="403"/>
      <c r="L11" s="478" t="s">
        <v>26</v>
      </c>
      <c r="M11" s="231" t="s">
        <v>135</v>
      </c>
      <c r="N11" s="132" t="s">
        <v>511</v>
      </c>
      <c r="O11" s="133" t="str">
        <f>$J$8</f>
        <v>6</v>
      </c>
      <c r="P11" s="133">
        <f t="shared" si="1"/>
        <v>6</v>
      </c>
      <c r="Q11" s="133">
        <f t="shared" si="2"/>
        <v>12</v>
      </c>
      <c r="R11" s="133">
        <f>1.9*Q11</f>
        <v>22.799999999999997</v>
      </c>
      <c r="S11" s="134" t="s">
        <v>506</v>
      </c>
      <c r="T11" s="135" t="s">
        <v>44</v>
      </c>
    </row>
    <row r="12" spans="1:29" ht="14.25" customHeight="1" x14ac:dyDescent="0.25">
      <c r="A12" s="388"/>
      <c r="B12" s="363"/>
      <c r="C12" s="363"/>
      <c r="D12" s="388"/>
      <c r="E12" s="377"/>
      <c r="F12" s="411"/>
      <c r="G12" s="363"/>
      <c r="H12" s="402" t="s">
        <v>265</v>
      </c>
      <c r="I12" s="399" t="s">
        <v>512</v>
      </c>
      <c r="J12" s="402">
        <v>2</v>
      </c>
      <c r="K12" s="402">
        <f>J12*G8</f>
        <v>4</v>
      </c>
      <c r="L12" s="479">
        <v>1</v>
      </c>
      <c r="M12" s="232" t="s">
        <v>513</v>
      </c>
      <c r="N12" s="136" t="s">
        <v>514</v>
      </c>
      <c r="O12" s="137">
        <v>1</v>
      </c>
      <c r="P12" s="137">
        <f t="shared" si="1"/>
        <v>1</v>
      </c>
      <c r="Q12" s="138">
        <f t="shared" si="2"/>
        <v>2</v>
      </c>
      <c r="R12" s="138">
        <f>Q12*5.7</f>
        <v>11.4</v>
      </c>
      <c r="S12" s="139" t="s">
        <v>506</v>
      </c>
      <c r="T12" s="140" t="s">
        <v>44</v>
      </c>
      <c r="U12" s="141"/>
      <c r="V12" s="142"/>
      <c r="W12" s="143"/>
      <c r="X12" s="142"/>
      <c r="Y12" s="142"/>
      <c r="Z12" s="142"/>
      <c r="AA12" s="142"/>
      <c r="AB12" s="142"/>
      <c r="AC12" s="144"/>
    </row>
    <row r="13" spans="1:29" ht="14.25" customHeight="1" x14ac:dyDescent="0.25">
      <c r="A13" s="388"/>
      <c r="B13" s="363"/>
      <c r="C13" s="363"/>
      <c r="D13" s="388"/>
      <c r="E13" s="377"/>
      <c r="F13" s="411"/>
      <c r="G13" s="363"/>
      <c r="H13" s="363"/>
      <c r="I13" s="400"/>
      <c r="J13" s="363"/>
      <c r="K13" s="363"/>
      <c r="L13" s="477">
        <v>2</v>
      </c>
      <c r="M13" s="230" t="s">
        <v>515</v>
      </c>
      <c r="N13" s="145" t="s">
        <v>516</v>
      </c>
      <c r="O13" s="127">
        <v>1</v>
      </c>
      <c r="P13" s="127">
        <f t="shared" si="1"/>
        <v>1</v>
      </c>
      <c r="Q13" s="146">
        <f t="shared" si="2"/>
        <v>2</v>
      </c>
      <c r="R13" s="146">
        <f>Q13*6.6</f>
        <v>13.2</v>
      </c>
      <c r="S13" s="128" t="s">
        <v>506</v>
      </c>
      <c r="T13" s="131" t="s">
        <v>44</v>
      </c>
      <c r="U13" s="141"/>
      <c r="V13" s="142"/>
      <c r="W13" s="143"/>
      <c r="X13" s="142"/>
      <c r="Y13" s="142"/>
      <c r="Z13" s="147"/>
      <c r="AA13" s="147"/>
      <c r="AB13" s="147"/>
      <c r="AC13" s="144"/>
    </row>
    <row r="14" spans="1:29" ht="14.25" customHeight="1" x14ac:dyDescent="0.25">
      <c r="A14" s="388"/>
      <c r="B14" s="363"/>
      <c r="C14" s="363"/>
      <c r="D14" s="388"/>
      <c r="E14" s="377"/>
      <c r="F14" s="411"/>
      <c r="G14" s="363"/>
      <c r="H14" s="363"/>
      <c r="I14" s="400"/>
      <c r="J14" s="363"/>
      <c r="K14" s="363"/>
      <c r="L14" s="477">
        <v>3</v>
      </c>
      <c r="M14" s="230" t="s">
        <v>517</v>
      </c>
      <c r="N14" s="126" t="s">
        <v>518</v>
      </c>
      <c r="O14" s="126">
        <f>4</f>
        <v>4</v>
      </c>
      <c r="P14" s="126">
        <f t="shared" si="1"/>
        <v>4</v>
      </c>
      <c r="Q14" s="146">
        <f t="shared" si="2"/>
        <v>8</v>
      </c>
      <c r="R14" s="146">
        <f>7.5*Q14</f>
        <v>60</v>
      </c>
      <c r="S14" s="128" t="s">
        <v>506</v>
      </c>
      <c r="T14" s="131" t="s">
        <v>44</v>
      </c>
      <c r="U14" s="55"/>
      <c r="V14" s="55"/>
      <c r="W14" s="55"/>
      <c r="X14" s="55"/>
      <c r="Y14" s="55"/>
      <c r="Z14" s="55"/>
      <c r="AA14" s="55"/>
      <c r="AB14" s="55"/>
      <c r="AC14" s="55"/>
    </row>
    <row r="15" spans="1:29" ht="14.25" customHeight="1" thickBot="1" x14ac:dyDescent="0.3">
      <c r="A15" s="388"/>
      <c r="B15" s="363"/>
      <c r="C15" s="363"/>
      <c r="D15" s="388"/>
      <c r="E15" s="377"/>
      <c r="F15" s="411"/>
      <c r="G15" s="363"/>
      <c r="H15" s="403"/>
      <c r="I15" s="401"/>
      <c r="J15" s="403"/>
      <c r="K15" s="403"/>
      <c r="L15" s="478">
        <v>4</v>
      </c>
      <c r="M15" s="231" t="s">
        <v>519</v>
      </c>
      <c r="N15" s="148" t="s">
        <v>520</v>
      </c>
      <c r="O15" s="149" t="str">
        <f>IF(B8=30,"6",IF(B8=25,"5",IF(B8=20,"4",IF(B8=15,"3"))))</f>
        <v>3</v>
      </c>
      <c r="P15" s="150">
        <f t="shared" si="1"/>
        <v>3</v>
      </c>
      <c r="Q15" s="151">
        <f t="shared" si="2"/>
        <v>6</v>
      </c>
      <c r="R15" s="151">
        <f>Q15*0.52</f>
        <v>3.12</v>
      </c>
      <c r="S15" s="134" t="s">
        <v>506</v>
      </c>
      <c r="T15" s="135" t="s">
        <v>44</v>
      </c>
      <c r="U15" s="55"/>
      <c r="V15" s="55"/>
      <c r="W15" s="55"/>
      <c r="X15" s="55"/>
      <c r="Y15" s="55"/>
      <c r="Z15" s="55"/>
      <c r="AA15" s="55"/>
      <c r="AB15" s="55"/>
      <c r="AC15" s="55"/>
    </row>
    <row r="16" spans="1:29" ht="14.25" customHeight="1" x14ac:dyDescent="0.25">
      <c r="A16" s="388"/>
      <c r="B16" s="363"/>
      <c r="C16" s="363"/>
      <c r="D16" s="388"/>
      <c r="E16" s="377"/>
      <c r="F16" s="411"/>
      <c r="G16" s="363"/>
      <c r="H16" s="341" t="s">
        <v>268</v>
      </c>
      <c r="I16" s="407" t="s">
        <v>521</v>
      </c>
      <c r="J16" s="341">
        <v>1</v>
      </c>
      <c r="K16" s="341">
        <f>J16*G8</f>
        <v>2</v>
      </c>
      <c r="L16" s="480">
        <v>1</v>
      </c>
      <c r="M16" s="233" t="s">
        <v>522</v>
      </c>
      <c r="N16" s="152" t="str">
        <f>IF(B8=30,"UPN40,L=6600",IF(B8=20,"UPN40,L=4600",IF(B8=25,"UPN40,L=5600",IF(B8=15,"UPN40,L=3600"))))</f>
        <v>UPN40,L=3600</v>
      </c>
      <c r="O16" s="153">
        <v>1</v>
      </c>
      <c r="P16" s="153">
        <f t="shared" si="1"/>
        <v>1</v>
      </c>
      <c r="Q16" s="154">
        <f t="shared" si="2"/>
        <v>2</v>
      </c>
      <c r="R16" s="45">
        <f>(IF(B8=30,"12.4",IF(B8=20,"8.7",IF(B8=25,"10.6",IF(B8=15,"6.8")))))*Q16</f>
        <v>13.6</v>
      </c>
      <c r="S16" s="123" t="s">
        <v>506</v>
      </c>
      <c r="T16" s="155" t="s">
        <v>44</v>
      </c>
      <c r="U16" s="55"/>
      <c r="V16" s="55"/>
      <c r="W16" s="55"/>
      <c r="X16" s="55"/>
      <c r="Y16" s="55"/>
      <c r="Z16" s="55"/>
      <c r="AA16" s="55"/>
      <c r="AB16" s="55"/>
      <c r="AC16" s="55"/>
    </row>
    <row r="17" spans="1:29" ht="14.25" customHeight="1" thickBot="1" x14ac:dyDescent="0.3">
      <c r="A17" s="388"/>
      <c r="B17" s="363"/>
      <c r="C17" s="363"/>
      <c r="D17" s="388"/>
      <c r="E17" s="377"/>
      <c r="F17" s="411"/>
      <c r="G17" s="363"/>
      <c r="H17" s="342"/>
      <c r="I17" s="408"/>
      <c r="J17" s="342"/>
      <c r="K17" s="342"/>
      <c r="L17" s="478">
        <v>2</v>
      </c>
      <c r="M17" s="231" t="s">
        <v>523</v>
      </c>
      <c r="N17" s="132" t="s">
        <v>524</v>
      </c>
      <c r="O17" s="133">
        <v>6</v>
      </c>
      <c r="P17" s="133">
        <f t="shared" si="1"/>
        <v>6</v>
      </c>
      <c r="Q17" s="151">
        <f t="shared" si="2"/>
        <v>12</v>
      </c>
      <c r="R17" s="151">
        <f>0.1*Q17</f>
        <v>1.2000000000000002</v>
      </c>
      <c r="S17" s="134" t="s">
        <v>506</v>
      </c>
      <c r="T17" s="135" t="s">
        <v>44</v>
      </c>
      <c r="U17" s="55"/>
      <c r="V17" s="55"/>
      <c r="W17" s="55"/>
      <c r="X17" s="55"/>
      <c r="Y17" s="55"/>
      <c r="Z17" s="55"/>
      <c r="AA17" s="55"/>
      <c r="AB17" s="55"/>
      <c r="AC17" s="55"/>
    </row>
    <row r="18" spans="1:29" ht="14.25" customHeight="1" x14ac:dyDescent="0.25">
      <c r="A18" s="388"/>
      <c r="B18" s="363"/>
      <c r="C18" s="363"/>
      <c r="D18" s="388"/>
      <c r="E18" s="377"/>
      <c r="F18" s="411"/>
      <c r="G18" s="363"/>
      <c r="H18" s="409" t="s">
        <v>345</v>
      </c>
      <c r="I18" s="402" t="s">
        <v>525</v>
      </c>
      <c r="J18" s="402" t="str">
        <f>J8</f>
        <v>6</v>
      </c>
      <c r="K18" s="402">
        <f>J18*G8</f>
        <v>12</v>
      </c>
      <c r="L18" s="479">
        <v>1</v>
      </c>
      <c r="M18" s="232" t="s">
        <v>526</v>
      </c>
      <c r="N18" s="156" t="s">
        <v>527</v>
      </c>
      <c r="O18" s="137" t="str">
        <f>J18</f>
        <v>6</v>
      </c>
      <c r="P18" s="137">
        <f t="shared" si="1"/>
        <v>6</v>
      </c>
      <c r="Q18" s="137">
        <f t="shared" si="2"/>
        <v>12</v>
      </c>
      <c r="R18" s="137">
        <f>Q18</f>
        <v>12</v>
      </c>
      <c r="S18" s="139" t="s">
        <v>528</v>
      </c>
      <c r="T18" s="140" t="s">
        <v>44</v>
      </c>
      <c r="U18" s="141"/>
      <c r="V18" s="143"/>
      <c r="W18" s="143"/>
      <c r="X18" s="157"/>
      <c r="Y18" s="157"/>
      <c r="Z18" s="147"/>
      <c r="AA18" s="147"/>
      <c r="AB18" s="147"/>
      <c r="AC18" s="144"/>
    </row>
    <row r="19" spans="1:29" ht="14.25" customHeight="1" thickBot="1" x14ac:dyDescent="0.3">
      <c r="A19" s="388"/>
      <c r="B19" s="363"/>
      <c r="C19" s="363"/>
      <c r="D19" s="388"/>
      <c r="E19" s="377"/>
      <c r="F19" s="411"/>
      <c r="G19" s="363"/>
      <c r="H19" s="410"/>
      <c r="I19" s="403"/>
      <c r="J19" s="403"/>
      <c r="K19" s="403"/>
      <c r="L19" s="478">
        <v>2</v>
      </c>
      <c r="M19" s="231" t="s">
        <v>529</v>
      </c>
      <c r="N19" s="132" t="s">
        <v>530</v>
      </c>
      <c r="O19" s="133" t="str">
        <f>O18</f>
        <v>6</v>
      </c>
      <c r="P19" s="133">
        <f t="shared" si="1"/>
        <v>6</v>
      </c>
      <c r="Q19" s="133">
        <f t="shared" si="2"/>
        <v>12</v>
      </c>
      <c r="R19" s="133">
        <f>0.8*Q19</f>
        <v>9.6000000000000014</v>
      </c>
      <c r="S19" s="134" t="s">
        <v>506</v>
      </c>
      <c r="T19" s="135" t="s">
        <v>44</v>
      </c>
      <c r="U19" s="141"/>
      <c r="V19" s="142"/>
      <c r="W19" s="143"/>
      <c r="X19" s="142"/>
      <c r="Y19" s="142"/>
      <c r="Z19" s="147"/>
      <c r="AA19" s="147"/>
      <c r="AB19" s="147"/>
      <c r="AC19" s="144"/>
    </row>
    <row r="20" spans="1:29" ht="15" customHeight="1" x14ac:dyDescent="0.25">
      <c r="A20" s="388"/>
      <c r="B20" s="363"/>
      <c r="C20" s="363"/>
      <c r="D20" s="388"/>
      <c r="E20" s="377"/>
      <c r="F20" s="411"/>
      <c r="G20" s="363"/>
      <c r="H20" s="409" t="s">
        <v>259</v>
      </c>
      <c r="I20" s="402" t="s">
        <v>531</v>
      </c>
      <c r="J20" s="402" t="str">
        <f>IF(B8=30,"12",IF(B8=25,"10",IF(B8=20,"8",IF(B8=15,"6"))))</f>
        <v>6</v>
      </c>
      <c r="K20" s="402">
        <f>G8*J20</f>
        <v>12</v>
      </c>
      <c r="L20" s="479">
        <v>1</v>
      </c>
      <c r="M20" s="232" t="s">
        <v>532</v>
      </c>
      <c r="N20" s="158" t="str">
        <f>IF(B8=30,"4x162x1415",IF(B8=25,"4x162x1165",IF(B8=20,"4x162x915",IF(B8=15,"4x162x665"))))</f>
        <v>4x162x665</v>
      </c>
      <c r="O20" s="137">
        <f t="shared" ref="O20" si="3">2*$J$8</f>
        <v>12</v>
      </c>
      <c r="P20" s="137">
        <f t="shared" si="1"/>
        <v>12</v>
      </c>
      <c r="Q20" s="137">
        <f t="shared" si="2"/>
        <v>24</v>
      </c>
      <c r="R20" s="158">
        <f>(IF(B8=30,"7.2",IF(B8=25,"5.9",IF(B8=20,"4.6",IF(B8=15,"3.3")))))*Q20</f>
        <v>79.199999999999989</v>
      </c>
      <c r="S20" s="139" t="s">
        <v>506</v>
      </c>
      <c r="T20" s="140" t="s">
        <v>44</v>
      </c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4.25" customHeight="1" thickBot="1" x14ac:dyDescent="0.3">
      <c r="A21" s="388"/>
      <c r="B21" s="363"/>
      <c r="C21" s="363"/>
      <c r="D21" s="388"/>
      <c r="E21" s="377"/>
      <c r="F21" s="411"/>
      <c r="G21" s="363"/>
      <c r="H21" s="410"/>
      <c r="I21" s="403"/>
      <c r="J21" s="403"/>
      <c r="K21" s="403"/>
      <c r="L21" s="478">
        <v>2</v>
      </c>
      <c r="M21" s="231" t="s">
        <v>533</v>
      </c>
      <c r="N21" s="160" t="s">
        <v>534</v>
      </c>
      <c r="O21" s="133">
        <f>2*J20</f>
        <v>12</v>
      </c>
      <c r="P21" s="133">
        <f>O21*F8</f>
        <v>12</v>
      </c>
      <c r="Q21" s="151">
        <f>P21*C8</f>
        <v>24</v>
      </c>
      <c r="R21" s="151">
        <f>0.088*Q21</f>
        <v>2.1120000000000001</v>
      </c>
      <c r="S21" s="134" t="s">
        <v>506</v>
      </c>
      <c r="T21" s="135" t="s">
        <v>44</v>
      </c>
      <c r="U21" s="55"/>
      <c r="V21" s="55"/>
      <c r="W21" s="55"/>
      <c r="X21" s="55"/>
      <c r="Y21" s="55"/>
      <c r="Z21" s="55"/>
      <c r="AA21" s="55"/>
      <c r="AB21" s="55"/>
      <c r="AC21" s="55"/>
    </row>
    <row r="22" spans="1:29" ht="15.75" x14ac:dyDescent="0.25">
      <c r="A22" s="388"/>
      <c r="B22" s="363"/>
      <c r="C22" s="363"/>
      <c r="D22" s="388"/>
      <c r="E22" s="377"/>
      <c r="F22" s="411"/>
      <c r="G22" s="363"/>
      <c r="H22" s="161"/>
      <c r="I22" s="162" t="s">
        <v>535</v>
      </c>
      <c r="J22" s="161"/>
      <c r="K22" s="161"/>
      <c r="L22" s="480">
        <v>1</v>
      </c>
      <c r="M22" s="233" t="s">
        <v>535</v>
      </c>
      <c r="N22" s="163" t="s">
        <v>518</v>
      </c>
      <c r="O22" s="163">
        <f>IF(E8="درام5100",2,0)</f>
        <v>0</v>
      </c>
      <c r="P22" s="164">
        <f>O22*$F$8</f>
        <v>0</v>
      </c>
      <c r="Q22" s="154">
        <f>P22*$C$8</f>
        <v>0</v>
      </c>
      <c r="R22" s="154">
        <f>7.5*Q22</f>
        <v>0</v>
      </c>
      <c r="S22" s="123" t="s">
        <v>506</v>
      </c>
      <c r="T22" s="155" t="s">
        <v>44</v>
      </c>
      <c r="U22" s="141"/>
    </row>
    <row r="23" spans="1:29" ht="14.25" customHeight="1" x14ac:dyDescent="0.25">
      <c r="A23" s="388"/>
      <c r="B23" s="363"/>
      <c r="C23" s="363"/>
      <c r="D23" s="388"/>
      <c r="E23" s="377"/>
      <c r="F23" s="411"/>
      <c r="G23" s="363"/>
      <c r="H23" s="165"/>
      <c r="I23" s="166" t="s">
        <v>536</v>
      </c>
      <c r="J23" s="165"/>
      <c r="K23" s="165"/>
      <c r="L23" s="477">
        <v>2</v>
      </c>
      <c r="M23" s="230" t="s">
        <v>536</v>
      </c>
      <c r="N23" s="130" t="str">
        <f>IF(B8=30,"1.5x1000x4000",IF(B8=25,"1.5x1250x2500",IF(B8=20,"1.5x1000x2000",IF(B8=15,"1.5x1000x1500"))))</f>
        <v>1.5x1000x1500</v>
      </c>
      <c r="O23" s="127">
        <v>2</v>
      </c>
      <c r="P23" s="127">
        <f>O23*$F$8</f>
        <v>2</v>
      </c>
      <c r="Q23" s="146">
        <f>P23*$C$8</f>
        <v>4</v>
      </c>
      <c r="R23" s="130">
        <f>(IF(B8=30,"41.6",IF(B8=25,"28.9",IF(B8=20,"18.5",IF(B8=15,"10.4")))))*Q23</f>
        <v>41.6</v>
      </c>
      <c r="S23" s="128" t="s">
        <v>506</v>
      </c>
      <c r="T23" s="240" t="s">
        <v>34</v>
      </c>
      <c r="U23" s="141"/>
    </row>
    <row r="24" spans="1:29" ht="14.25" customHeight="1" x14ac:dyDescent="0.25">
      <c r="A24" s="388"/>
      <c r="B24" s="363"/>
      <c r="C24" s="363"/>
      <c r="D24" s="388"/>
      <c r="E24" s="377"/>
      <c r="F24" s="411"/>
      <c r="G24" s="363"/>
      <c r="H24" s="71" t="s">
        <v>44</v>
      </c>
      <c r="I24" s="166" t="s">
        <v>537</v>
      </c>
      <c r="J24" s="71" t="s">
        <v>44</v>
      </c>
      <c r="K24" s="71" t="s">
        <v>44</v>
      </c>
      <c r="L24" s="477">
        <v>3</v>
      </c>
      <c r="M24" s="230" t="s">
        <v>537</v>
      </c>
      <c r="N24" s="126" t="s">
        <v>538</v>
      </c>
      <c r="O24" s="127" t="str">
        <f>IF((AND(B8=30,E8=3400)),"12",IF((AND(B8=25,E8=3400)),"10",IF((AND(B8=20,E8=3400)),"8",IF((AND(B8=15,E8=3400)),"6",IF((AND(B8=30,E8=5100)),"36",IF((AND(B8=25,E8=5100)),"30",IF((AND(B8=20,E8=5100)),"24",IF((AND(B8=15,E8=5100)),"18"))))))))</f>
        <v>6</v>
      </c>
      <c r="P24" s="127">
        <f t="shared" si="1"/>
        <v>6</v>
      </c>
      <c r="Q24" s="146">
        <f t="shared" si="2"/>
        <v>12</v>
      </c>
      <c r="R24" s="146">
        <f>1.3*Q24</f>
        <v>15.600000000000001</v>
      </c>
      <c r="S24" s="128" t="s">
        <v>506</v>
      </c>
      <c r="T24" s="131" t="s">
        <v>44</v>
      </c>
      <c r="U24" s="141"/>
      <c r="V24" s="142"/>
      <c r="W24" s="143"/>
      <c r="X24" s="142"/>
      <c r="Y24" s="142"/>
      <c r="Z24" s="142"/>
      <c r="AA24" s="142"/>
      <c r="AB24" s="142"/>
      <c r="AC24" s="144"/>
    </row>
    <row r="25" spans="1:29" ht="14.25" customHeight="1" x14ac:dyDescent="0.25">
      <c r="A25" s="388"/>
      <c r="B25" s="363"/>
      <c r="C25" s="363"/>
      <c r="D25" s="388"/>
      <c r="E25" s="377"/>
      <c r="F25" s="411"/>
      <c r="G25" s="363"/>
      <c r="H25" s="71" t="s">
        <v>44</v>
      </c>
      <c r="I25" s="166" t="s">
        <v>539</v>
      </c>
      <c r="J25" s="71" t="s">
        <v>44</v>
      </c>
      <c r="K25" s="71" t="s">
        <v>44</v>
      </c>
      <c r="L25" s="477">
        <v>4</v>
      </c>
      <c r="M25" s="230" t="s">
        <v>539</v>
      </c>
      <c r="N25" s="126" t="s">
        <v>540</v>
      </c>
      <c r="O25" s="127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P25" s="127">
        <f t="shared" si="1"/>
        <v>6</v>
      </c>
      <c r="Q25" s="127">
        <f t="shared" si="2"/>
        <v>12</v>
      </c>
      <c r="R25" s="127">
        <f>2.6*Q25</f>
        <v>31.200000000000003</v>
      </c>
      <c r="S25" s="128" t="s">
        <v>506</v>
      </c>
      <c r="T25" s="131" t="s">
        <v>44</v>
      </c>
      <c r="U25" s="141"/>
      <c r="V25" s="142"/>
      <c r="W25" s="143"/>
      <c r="X25" s="142"/>
      <c r="Y25" s="142"/>
      <c r="Z25" s="142"/>
      <c r="AA25" s="142"/>
      <c r="AB25" s="142"/>
      <c r="AC25" s="144"/>
    </row>
    <row r="26" spans="1:29" ht="14.25" customHeight="1" x14ac:dyDescent="0.25">
      <c r="A26" s="389"/>
      <c r="B26" s="364"/>
      <c r="C26" s="364"/>
      <c r="D26" s="389"/>
      <c r="E26" s="378"/>
      <c r="F26" s="394"/>
      <c r="G26" s="364"/>
      <c r="H26" s="71" t="s">
        <v>44</v>
      </c>
      <c r="I26" s="166" t="s">
        <v>541</v>
      </c>
      <c r="J26" s="71" t="s">
        <v>44</v>
      </c>
      <c r="K26" s="71" t="s">
        <v>44</v>
      </c>
      <c r="L26" s="477">
        <v>5</v>
      </c>
      <c r="M26" s="230" t="s">
        <v>541</v>
      </c>
      <c r="N26" s="130" t="str">
        <f>IF(B8=30,"1x32x9600",IF(B8=25,"1x32x8000",IF(B8=20,"1x32x6500",IF(B8=15,"1x32x5000"))))</f>
        <v>1x32x5000</v>
      </c>
      <c r="O26" s="127">
        <f>IF(E8="درام5100",6,4)</f>
        <v>4</v>
      </c>
      <c r="P26" s="127">
        <f t="shared" si="1"/>
        <v>4</v>
      </c>
      <c r="Q26" s="127">
        <f t="shared" si="2"/>
        <v>8</v>
      </c>
      <c r="R26" s="127">
        <f>(IF(B8=30,"2.4",IF(B8=25,"2",IF(B8=20,"1.6",IF(B8=15,"1.2")))))*Q26</f>
        <v>9.6</v>
      </c>
      <c r="S26" s="166" t="s">
        <v>506</v>
      </c>
      <c r="T26" s="241" t="s">
        <v>44</v>
      </c>
      <c r="U26" s="141"/>
      <c r="V26" s="142"/>
      <c r="W26" s="143"/>
      <c r="X26" s="142"/>
      <c r="Y26" s="142"/>
      <c r="Z26" s="142"/>
      <c r="AA26" s="142"/>
      <c r="AB26" s="142"/>
      <c r="AC26" s="168"/>
    </row>
    <row r="27" spans="1:29" x14ac:dyDescent="0.25">
      <c r="U27" s="55"/>
      <c r="V27" s="55"/>
      <c r="W27" s="55"/>
      <c r="X27" s="55"/>
      <c r="Y27" s="55"/>
      <c r="Z27" s="55"/>
      <c r="AA27" s="55"/>
      <c r="AB27" s="55"/>
      <c r="AC27" s="55"/>
    </row>
    <row r="29" spans="1:29" x14ac:dyDescent="0.25">
      <c r="P29" s="169"/>
      <c r="Q29" s="169"/>
      <c r="R29" s="169"/>
      <c r="S29" s="169"/>
    </row>
    <row r="37" spans="1:20" ht="19.5" x14ac:dyDescent="0.25">
      <c r="A37" s="284" t="s">
        <v>0</v>
      </c>
      <c r="B37" s="285"/>
      <c r="C37" s="285"/>
      <c r="D37" s="11"/>
      <c r="E37" s="12"/>
      <c r="F37" s="12" t="s">
        <v>14</v>
      </c>
      <c r="G37" s="13"/>
      <c r="H37" s="12"/>
      <c r="I37" s="12" t="s">
        <v>13</v>
      </c>
      <c r="J37" s="12"/>
      <c r="K37" s="13"/>
      <c r="L37" s="11"/>
      <c r="M37" s="12"/>
      <c r="N37" s="6" t="s">
        <v>1</v>
      </c>
      <c r="O37" s="12"/>
      <c r="P37" s="12"/>
      <c r="Q37" s="12"/>
      <c r="R37" s="21"/>
      <c r="S37" s="21"/>
      <c r="T37" s="17" t="s">
        <v>15</v>
      </c>
    </row>
    <row r="38" spans="1:20" ht="50.25" customHeight="1" x14ac:dyDescent="0.25">
      <c r="A38" s="20" t="s">
        <v>2</v>
      </c>
      <c r="B38" s="20" t="s">
        <v>502</v>
      </c>
      <c r="C38" s="3" t="s">
        <v>3</v>
      </c>
      <c r="D38" s="14" t="s">
        <v>4</v>
      </c>
      <c r="E38" s="15" t="s">
        <v>5</v>
      </c>
      <c r="F38" s="14" t="s">
        <v>6</v>
      </c>
      <c r="G38" s="14" t="s">
        <v>3</v>
      </c>
      <c r="H38" s="3" t="s">
        <v>10</v>
      </c>
      <c r="I38" s="3" t="s">
        <v>5</v>
      </c>
      <c r="J38" s="20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6" t="s">
        <v>3</v>
      </c>
      <c r="R38" s="16" t="s">
        <v>17</v>
      </c>
      <c r="S38" s="16" t="s">
        <v>18</v>
      </c>
      <c r="T38" s="3" t="s">
        <v>16</v>
      </c>
    </row>
    <row r="39" spans="1:20" ht="12.95" customHeight="1" x14ac:dyDescent="0.25">
      <c r="A39" s="417" t="s">
        <v>345</v>
      </c>
      <c r="B39" s="404">
        <v>15</v>
      </c>
      <c r="C39" s="417" t="s">
        <v>19</v>
      </c>
      <c r="D39" s="417" t="s">
        <v>268</v>
      </c>
      <c r="E39" s="404">
        <v>3400</v>
      </c>
      <c r="F39" s="393" t="s">
        <v>19</v>
      </c>
      <c r="G39" s="362">
        <f>C39*F39</f>
        <v>1</v>
      </c>
      <c r="H39" s="170" t="s">
        <v>44</v>
      </c>
      <c r="I39" s="170" t="s">
        <v>44</v>
      </c>
      <c r="J39" s="170" t="s">
        <v>44</v>
      </c>
      <c r="K39" s="170" t="s">
        <v>44</v>
      </c>
      <c r="L39" s="477">
        <v>6</v>
      </c>
      <c r="M39" s="166" t="s">
        <v>542</v>
      </c>
      <c r="N39" s="126" t="s">
        <v>44</v>
      </c>
      <c r="O39" s="127">
        <f>O26</f>
        <v>4</v>
      </c>
      <c r="P39" s="127">
        <f>O39*$F$39</f>
        <v>4</v>
      </c>
      <c r="Q39" s="171">
        <f>P39*$C$39</f>
        <v>4</v>
      </c>
      <c r="R39" s="171">
        <f>Q39</f>
        <v>4</v>
      </c>
      <c r="S39" s="172" t="s">
        <v>528</v>
      </c>
      <c r="T39" s="53"/>
    </row>
    <row r="40" spans="1:20" ht="12.95" customHeight="1" x14ac:dyDescent="0.25">
      <c r="A40" s="418"/>
      <c r="B40" s="405"/>
      <c r="C40" s="418"/>
      <c r="D40" s="418"/>
      <c r="E40" s="405"/>
      <c r="F40" s="411"/>
      <c r="G40" s="363"/>
      <c r="H40" s="50" t="s">
        <v>44</v>
      </c>
      <c r="I40" s="124" t="s">
        <v>44</v>
      </c>
      <c r="J40" s="50" t="s">
        <v>44</v>
      </c>
      <c r="K40" s="50" t="s">
        <v>44</v>
      </c>
      <c r="L40" s="480">
        <v>7</v>
      </c>
      <c r="M40" s="173" t="s">
        <v>543</v>
      </c>
      <c r="N40" s="126" t="s">
        <v>544</v>
      </c>
      <c r="O40" s="127">
        <f>O39</f>
        <v>4</v>
      </c>
      <c r="P40" s="127">
        <f t="shared" ref="P40:P57" si="4">O40*$F$39</f>
        <v>4</v>
      </c>
      <c r="Q40" s="154">
        <f t="shared" ref="Q40:Q57" si="5">P40*$C$39</f>
        <v>4</v>
      </c>
      <c r="R40" s="154">
        <f>Q40</f>
        <v>4</v>
      </c>
      <c r="S40" s="123" t="s">
        <v>528</v>
      </c>
      <c r="T40" s="53"/>
    </row>
    <row r="41" spans="1:20" ht="12.95" customHeight="1" x14ac:dyDescent="0.25">
      <c r="A41" s="418"/>
      <c r="B41" s="405"/>
      <c r="C41" s="418"/>
      <c r="D41" s="418"/>
      <c r="E41" s="405"/>
      <c r="F41" s="411"/>
      <c r="G41" s="363"/>
      <c r="H41" s="50" t="s">
        <v>44</v>
      </c>
      <c r="I41" s="124" t="s">
        <v>44</v>
      </c>
      <c r="J41" s="50" t="s">
        <v>44</v>
      </c>
      <c r="K41" s="50" t="s">
        <v>44</v>
      </c>
      <c r="L41" s="477">
        <v>8</v>
      </c>
      <c r="M41" s="166" t="s">
        <v>545</v>
      </c>
      <c r="N41" s="126" t="s">
        <v>544</v>
      </c>
      <c r="O41" s="127">
        <f>O40</f>
        <v>4</v>
      </c>
      <c r="P41" s="127">
        <f t="shared" si="4"/>
        <v>4</v>
      </c>
      <c r="Q41" s="146">
        <f t="shared" si="5"/>
        <v>4</v>
      </c>
      <c r="R41" s="146">
        <f>Q41</f>
        <v>4</v>
      </c>
      <c r="S41" s="128" t="s">
        <v>528</v>
      </c>
      <c r="T41" s="53"/>
    </row>
    <row r="42" spans="1:20" ht="12.95" customHeight="1" thickBot="1" x14ac:dyDescent="0.3">
      <c r="A42" s="418"/>
      <c r="B42" s="405"/>
      <c r="C42" s="418"/>
      <c r="D42" s="418"/>
      <c r="E42" s="405"/>
      <c r="F42" s="411"/>
      <c r="G42" s="363"/>
      <c r="H42" s="174" t="s">
        <v>44</v>
      </c>
      <c r="I42" s="174" t="s">
        <v>44</v>
      </c>
      <c r="J42" s="174" t="s">
        <v>44</v>
      </c>
      <c r="K42" s="174" t="s">
        <v>44</v>
      </c>
      <c r="L42" s="478">
        <v>9</v>
      </c>
      <c r="M42" s="159" t="s">
        <v>546</v>
      </c>
      <c r="N42" s="132" t="s">
        <v>547</v>
      </c>
      <c r="O42" s="133" t="str">
        <f>J8</f>
        <v>6</v>
      </c>
      <c r="P42" s="133">
        <f t="shared" si="4"/>
        <v>6</v>
      </c>
      <c r="Q42" s="151">
        <f t="shared" si="5"/>
        <v>6</v>
      </c>
      <c r="R42" s="151">
        <f>Q42</f>
        <v>6</v>
      </c>
      <c r="S42" s="134" t="s">
        <v>528</v>
      </c>
      <c r="T42" s="63"/>
    </row>
    <row r="43" spans="1:20" ht="12.95" customHeight="1" x14ac:dyDescent="0.25">
      <c r="A43" s="418"/>
      <c r="B43" s="405"/>
      <c r="C43" s="418"/>
      <c r="D43" s="418"/>
      <c r="E43" s="405"/>
      <c r="F43" s="411"/>
      <c r="G43" s="363"/>
      <c r="H43" s="422" t="s">
        <v>383</v>
      </c>
      <c r="I43" s="420" t="s">
        <v>310</v>
      </c>
      <c r="J43" s="420">
        <v>1</v>
      </c>
      <c r="K43" s="420">
        <f>J43*G39</f>
        <v>1</v>
      </c>
      <c r="L43" s="480">
        <v>1</v>
      </c>
      <c r="M43" s="173" t="s">
        <v>548</v>
      </c>
      <c r="N43" s="163" t="s">
        <v>549</v>
      </c>
      <c r="O43" s="45" t="str">
        <f>IF(B39=30,"24",IF(B39=20,"16",IF(B39=25,"20",IF(B39=15,"12"))))</f>
        <v>12</v>
      </c>
      <c r="P43" s="153">
        <f t="shared" si="4"/>
        <v>12</v>
      </c>
      <c r="Q43" s="154">
        <f t="shared" si="5"/>
        <v>12</v>
      </c>
      <c r="R43" s="154">
        <f t="shared" ref="R43:R56" si="6">Q43</f>
        <v>12</v>
      </c>
      <c r="S43" s="123" t="s">
        <v>528</v>
      </c>
      <c r="T43" s="65"/>
    </row>
    <row r="44" spans="1:20" ht="12.95" customHeight="1" x14ac:dyDescent="0.25">
      <c r="A44" s="418"/>
      <c r="B44" s="405"/>
      <c r="C44" s="418"/>
      <c r="D44" s="418"/>
      <c r="E44" s="405"/>
      <c r="F44" s="411"/>
      <c r="G44" s="363"/>
      <c r="H44" s="422"/>
      <c r="I44" s="420"/>
      <c r="J44" s="420"/>
      <c r="K44" s="420"/>
      <c r="L44" s="477">
        <v>2</v>
      </c>
      <c r="M44" s="166" t="s">
        <v>550</v>
      </c>
      <c r="N44" s="126" t="s">
        <v>551</v>
      </c>
      <c r="O44" s="127" t="str">
        <f>O43</f>
        <v>12</v>
      </c>
      <c r="P44" s="127">
        <f t="shared" si="4"/>
        <v>12</v>
      </c>
      <c r="Q44" s="146">
        <f t="shared" si="5"/>
        <v>12</v>
      </c>
      <c r="R44" s="146">
        <f t="shared" si="6"/>
        <v>12</v>
      </c>
      <c r="S44" s="128" t="s">
        <v>528</v>
      </c>
      <c r="T44" s="53"/>
    </row>
    <row r="45" spans="1:20" ht="12.95" customHeight="1" x14ac:dyDescent="0.25">
      <c r="A45" s="418"/>
      <c r="B45" s="405"/>
      <c r="C45" s="418"/>
      <c r="D45" s="418"/>
      <c r="E45" s="405"/>
      <c r="F45" s="411"/>
      <c r="G45" s="363"/>
      <c r="H45" s="422"/>
      <c r="I45" s="420"/>
      <c r="J45" s="420"/>
      <c r="K45" s="420"/>
      <c r="L45" s="480">
        <v>3</v>
      </c>
      <c r="M45" s="166" t="s">
        <v>552</v>
      </c>
      <c r="N45" s="126" t="s">
        <v>553</v>
      </c>
      <c r="O45" s="127" t="str">
        <f>O44</f>
        <v>12</v>
      </c>
      <c r="P45" s="127">
        <f t="shared" si="4"/>
        <v>12</v>
      </c>
      <c r="Q45" s="175">
        <f t="shared" si="5"/>
        <v>12</v>
      </c>
      <c r="R45" s="175">
        <f t="shared" si="6"/>
        <v>12</v>
      </c>
      <c r="S45" s="121" t="s">
        <v>528</v>
      </c>
      <c r="T45" s="53"/>
    </row>
    <row r="46" spans="1:20" ht="12.95" customHeight="1" x14ac:dyDescent="0.25">
      <c r="A46" s="418"/>
      <c r="B46" s="405"/>
      <c r="C46" s="418"/>
      <c r="D46" s="418"/>
      <c r="E46" s="405"/>
      <c r="F46" s="411"/>
      <c r="G46" s="363"/>
      <c r="H46" s="422"/>
      <c r="I46" s="420"/>
      <c r="J46" s="420"/>
      <c r="K46" s="420"/>
      <c r="L46" s="477">
        <v>4</v>
      </c>
      <c r="M46" s="173" t="s">
        <v>554</v>
      </c>
      <c r="N46" s="163" t="s">
        <v>315</v>
      </c>
      <c r="O46" s="153" t="str">
        <f>O24</f>
        <v>6</v>
      </c>
      <c r="P46" s="153">
        <f t="shared" si="4"/>
        <v>6</v>
      </c>
      <c r="Q46" s="146">
        <f t="shared" si="5"/>
        <v>6</v>
      </c>
      <c r="R46" s="146">
        <f t="shared" si="6"/>
        <v>6</v>
      </c>
      <c r="S46" s="128" t="s">
        <v>528</v>
      </c>
      <c r="T46" s="53"/>
    </row>
    <row r="47" spans="1:20" ht="12.95" customHeight="1" x14ac:dyDescent="0.25">
      <c r="A47" s="418"/>
      <c r="B47" s="405"/>
      <c r="C47" s="418"/>
      <c r="D47" s="418"/>
      <c r="E47" s="405"/>
      <c r="F47" s="411"/>
      <c r="G47" s="363"/>
      <c r="H47" s="422"/>
      <c r="I47" s="420"/>
      <c r="J47" s="420"/>
      <c r="K47" s="420"/>
      <c r="L47" s="480">
        <v>5</v>
      </c>
      <c r="M47" s="166" t="s">
        <v>555</v>
      </c>
      <c r="N47" s="126" t="s">
        <v>556</v>
      </c>
      <c r="O47" s="127" t="str">
        <f>O46</f>
        <v>6</v>
      </c>
      <c r="P47" s="127">
        <f t="shared" si="4"/>
        <v>6</v>
      </c>
      <c r="Q47" s="154">
        <f t="shared" si="5"/>
        <v>6</v>
      </c>
      <c r="R47" s="154">
        <f t="shared" si="6"/>
        <v>6</v>
      </c>
      <c r="S47" s="123" t="s">
        <v>528</v>
      </c>
      <c r="T47" s="53"/>
    </row>
    <row r="48" spans="1:20" ht="12.95" customHeight="1" x14ac:dyDescent="0.25">
      <c r="A48" s="418"/>
      <c r="B48" s="405"/>
      <c r="C48" s="418"/>
      <c r="D48" s="418"/>
      <c r="E48" s="405"/>
      <c r="F48" s="411"/>
      <c r="G48" s="363"/>
      <c r="H48" s="422"/>
      <c r="I48" s="420"/>
      <c r="J48" s="420"/>
      <c r="K48" s="420"/>
      <c r="L48" s="477">
        <v>6</v>
      </c>
      <c r="M48" s="166" t="s">
        <v>557</v>
      </c>
      <c r="N48" s="126" t="s">
        <v>312</v>
      </c>
      <c r="O48" s="127">
        <f>J8*11</f>
        <v>66</v>
      </c>
      <c r="P48" s="127">
        <f t="shared" si="4"/>
        <v>66</v>
      </c>
      <c r="Q48" s="154">
        <f t="shared" si="5"/>
        <v>66</v>
      </c>
      <c r="R48" s="154">
        <f t="shared" si="6"/>
        <v>66</v>
      </c>
      <c r="S48" s="123" t="s">
        <v>528</v>
      </c>
      <c r="T48" s="53"/>
    </row>
    <row r="49" spans="1:20" ht="12.95" customHeight="1" x14ac:dyDescent="0.25">
      <c r="A49" s="418"/>
      <c r="B49" s="405"/>
      <c r="C49" s="418"/>
      <c r="D49" s="418"/>
      <c r="E49" s="405"/>
      <c r="F49" s="411"/>
      <c r="G49" s="363"/>
      <c r="H49" s="422"/>
      <c r="I49" s="420"/>
      <c r="J49" s="420"/>
      <c r="K49" s="420"/>
      <c r="L49" s="480">
        <v>7</v>
      </c>
      <c r="M49" s="166" t="s">
        <v>558</v>
      </c>
      <c r="N49" s="126" t="s">
        <v>556</v>
      </c>
      <c r="O49" s="127">
        <f>O48</f>
        <v>66</v>
      </c>
      <c r="P49" s="127">
        <f t="shared" si="4"/>
        <v>66</v>
      </c>
      <c r="Q49" s="146">
        <f t="shared" si="5"/>
        <v>66</v>
      </c>
      <c r="R49" s="146">
        <f t="shared" si="6"/>
        <v>66</v>
      </c>
      <c r="S49" s="128" t="s">
        <v>528</v>
      </c>
      <c r="T49" s="53"/>
    </row>
    <row r="50" spans="1:20" ht="12.95" customHeight="1" x14ac:dyDescent="0.25">
      <c r="A50" s="418"/>
      <c r="B50" s="405"/>
      <c r="C50" s="418"/>
      <c r="D50" s="418"/>
      <c r="E50" s="405"/>
      <c r="F50" s="411"/>
      <c r="G50" s="363"/>
      <c r="H50" s="422"/>
      <c r="I50" s="420"/>
      <c r="J50" s="420"/>
      <c r="K50" s="420"/>
      <c r="L50" s="477">
        <v>8</v>
      </c>
      <c r="M50" s="166" t="s">
        <v>559</v>
      </c>
      <c r="N50" s="126" t="s">
        <v>434</v>
      </c>
      <c r="O50" s="127">
        <f>O49</f>
        <v>66</v>
      </c>
      <c r="P50" s="127">
        <f t="shared" si="4"/>
        <v>66</v>
      </c>
      <c r="Q50" s="146">
        <f t="shared" si="5"/>
        <v>66</v>
      </c>
      <c r="R50" s="146">
        <f t="shared" si="6"/>
        <v>66</v>
      </c>
      <c r="S50" s="128" t="s">
        <v>528</v>
      </c>
      <c r="T50" s="53"/>
    </row>
    <row r="51" spans="1:20" ht="12.95" customHeight="1" x14ac:dyDescent="0.25">
      <c r="A51" s="418"/>
      <c r="B51" s="405"/>
      <c r="C51" s="418"/>
      <c r="D51" s="418"/>
      <c r="E51" s="405"/>
      <c r="F51" s="411"/>
      <c r="G51" s="363"/>
      <c r="H51" s="422"/>
      <c r="I51" s="420"/>
      <c r="J51" s="420"/>
      <c r="K51" s="420"/>
      <c r="L51" s="480">
        <v>9</v>
      </c>
      <c r="M51" s="166" t="s">
        <v>311</v>
      </c>
      <c r="N51" s="126" t="s">
        <v>560</v>
      </c>
      <c r="O51" s="12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15</v>
      </c>
      <c r="P51" s="127">
        <f t="shared" si="4"/>
        <v>15</v>
      </c>
      <c r="Q51" s="146">
        <f t="shared" si="5"/>
        <v>15</v>
      </c>
      <c r="R51" s="146">
        <f t="shared" si="6"/>
        <v>15</v>
      </c>
      <c r="S51" s="128" t="s">
        <v>528</v>
      </c>
      <c r="T51" s="53"/>
    </row>
    <row r="52" spans="1:20" ht="12.95" customHeight="1" x14ac:dyDescent="0.25">
      <c r="A52" s="418"/>
      <c r="B52" s="405"/>
      <c r="C52" s="418"/>
      <c r="D52" s="418"/>
      <c r="E52" s="405"/>
      <c r="F52" s="411"/>
      <c r="G52" s="363"/>
      <c r="H52" s="422"/>
      <c r="I52" s="420"/>
      <c r="J52" s="420"/>
      <c r="K52" s="420"/>
      <c r="L52" s="477">
        <v>10</v>
      </c>
      <c r="M52" s="166" t="s">
        <v>313</v>
      </c>
      <c r="N52" s="126" t="s">
        <v>561</v>
      </c>
      <c r="O52" s="127" t="str">
        <f>O51</f>
        <v>15</v>
      </c>
      <c r="P52" s="127">
        <f t="shared" si="4"/>
        <v>15</v>
      </c>
      <c r="Q52" s="146">
        <f t="shared" si="5"/>
        <v>15</v>
      </c>
      <c r="R52" s="146">
        <f t="shared" si="6"/>
        <v>15</v>
      </c>
      <c r="S52" s="128" t="s">
        <v>528</v>
      </c>
      <c r="T52" s="53"/>
    </row>
    <row r="53" spans="1:20" ht="12.95" customHeight="1" x14ac:dyDescent="0.25">
      <c r="A53" s="418"/>
      <c r="B53" s="405"/>
      <c r="C53" s="418"/>
      <c r="D53" s="418"/>
      <c r="E53" s="405"/>
      <c r="F53" s="411"/>
      <c r="G53" s="363"/>
      <c r="H53" s="422"/>
      <c r="I53" s="420"/>
      <c r="J53" s="420"/>
      <c r="K53" s="420"/>
      <c r="L53" s="480">
        <v>11</v>
      </c>
      <c r="M53" s="166" t="s">
        <v>562</v>
      </c>
      <c r="N53" s="126" t="s">
        <v>563</v>
      </c>
      <c r="O53" s="127" t="str">
        <f>O51</f>
        <v>15</v>
      </c>
      <c r="P53" s="127">
        <f t="shared" si="4"/>
        <v>15</v>
      </c>
      <c r="Q53" s="176">
        <f t="shared" si="5"/>
        <v>15</v>
      </c>
      <c r="R53" s="176">
        <f t="shared" si="6"/>
        <v>15</v>
      </c>
      <c r="S53" s="177" t="s">
        <v>528</v>
      </c>
      <c r="T53" s="53"/>
    </row>
    <row r="54" spans="1:20" ht="12.95" customHeight="1" x14ac:dyDescent="0.25">
      <c r="A54" s="418"/>
      <c r="B54" s="405"/>
      <c r="C54" s="418"/>
      <c r="D54" s="418"/>
      <c r="E54" s="405"/>
      <c r="F54" s="411"/>
      <c r="G54" s="363"/>
      <c r="H54" s="422"/>
      <c r="I54" s="420"/>
      <c r="J54" s="420"/>
      <c r="K54" s="420"/>
      <c r="L54" s="477">
        <v>12</v>
      </c>
      <c r="M54" s="166" t="s">
        <v>564</v>
      </c>
      <c r="N54" s="126" t="s">
        <v>565</v>
      </c>
      <c r="O54" s="127">
        <f>J8*7</f>
        <v>42</v>
      </c>
      <c r="P54" s="176">
        <f t="shared" si="4"/>
        <v>42</v>
      </c>
      <c r="Q54" s="146">
        <f t="shared" si="5"/>
        <v>42</v>
      </c>
      <c r="R54" s="146">
        <f t="shared" si="6"/>
        <v>42</v>
      </c>
      <c r="S54" s="128" t="s">
        <v>528</v>
      </c>
      <c r="T54" s="178"/>
    </row>
    <row r="55" spans="1:20" ht="12.95" customHeight="1" x14ac:dyDescent="0.25">
      <c r="A55" s="418"/>
      <c r="B55" s="405"/>
      <c r="C55" s="418"/>
      <c r="D55" s="418"/>
      <c r="E55" s="405"/>
      <c r="F55" s="411"/>
      <c r="G55" s="363"/>
      <c r="H55" s="422"/>
      <c r="I55" s="420"/>
      <c r="J55" s="420"/>
      <c r="K55" s="420"/>
      <c r="L55" s="480">
        <v>13</v>
      </c>
      <c r="M55" s="166" t="s">
        <v>566</v>
      </c>
      <c r="N55" s="126" t="s">
        <v>312</v>
      </c>
      <c r="O55" s="127">
        <v>4</v>
      </c>
      <c r="P55" s="127">
        <f t="shared" si="4"/>
        <v>4</v>
      </c>
      <c r="Q55" s="146">
        <f t="shared" si="5"/>
        <v>4</v>
      </c>
      <c r="R55" s="146">
        <f t="shared" si="6"/>
        <v>4</v>
      </c>
      <c r="S55" s="128" t="s">
        <v>528</v>
      </c>
      <c r="T55" s="178"/>
    </row>
    <row r="56" spans="1:20" ht="12.95" customHeight="1" x14ac:dyDescent="0.25">
      <c r="A56" s="418"/>
      <c r="B56" s="405"/>
      <c r="C56" s="418"/>
      <c r="D56" s="418"/>
      <c r="E56" s="405"/>
      <c r="F56" s="411"/>
      <c r="G56" s="363"/>
      <c r="H56" s="422"/>
      <c r="I56" s="420"/>
      <c r="J56" s="420"/>
      <c r="K56" s="420"/>
      <c r="L56" s="477">
        <v>14</v>
      </c>
      <c r="M56" s="166" t="s">
        <v>567</v>
      </c>
      <c r="N56" s="126" t="s">
        <v>85</v>
      </c>
      <c r="O56" s="127">
        <v>4</v>
      </c>
      <c r="P56" s="127">
        <f t="shared" si="4"/>
        <v>4</v>
      </c>
      <c r="Q56" s="146">
        <f t="shared" si="5"/>
        <v>4</v>
      </c>
      <c r="R56" s="146">
        <f t="shared" si="6"/>
        <v>4</v>
      </c>
      <c r="S56" s="128" t="s">
        <v>528</v>
      </c>
      <c r="T56" s="178"/>
    </row>
    <row r="57" spans="1:20" ht="12.95" customHeight="1" x14ac:dyDescent="0.25">
      <c r="A57" s="419"/>
      <c r="B57" s="406"/>
      <c r="C57" s="419"/>
      <c r="D57" s="419"/>
      <c r="E57" s="406"/>
      <c r="F57" s="394"/>
      <c r="G57" s="364"/>
      <c r="H57" s="423"/>
      <c r="I57" s="421"/>
      <c r="J57" s="421"/>
      <c r="K57" s="421"/>
      <c r="L57" s="480">
        <v>15</v>
      </c>
      <c r="M57" s="166" t="s">
        <v>568</v>
      </c>
      <c r="N57" s="130" t="str">
        <f>IF(B8=30,"3x150x10000",IF(B8=25,"3x150x8500",IF(B8=20,"3x150x7000",IF(B8=15,"3x150x5500"))))</f>
        <v>3x150x5500</v>
      </c>
      <c r="O57" s="127">
        <v>1</v>
      </c>
      <c r="P57" s="127">
        <f t="shared" si="4"/>
        <v>1</v>
      </c>
      <c r="Q57" s="146">
        <f t="shared" si="5"/>
        <v>1</v>
      </c>
      <c r="R57" s="130">
        <f>IF(B8=30,"6.75",IF(B8=25,"5.73",IF(B8=20,"4.72",IF(B8=15,"3.71"))))*Q57</f>
        <v>3.71</v>
      </c>
      <c r="S57" s="128" t="s">
        <v>506</v>
      </c>
      <c r="T57" s="178"/>
    </row>
    <row r="72" spans="1:1" hidden="1" x14ac:dyDescent="0.25">
      <c r="A72" t="s">
        <v>569</v>
      </c>
    </row>
    <row r="73" spans="1:1" hidden="1" x14ac:dyDescent="0.25">
      <c r="A73" t="s">
        <v>570</v>
      </c>
    </row>
  </sheetData>
  <mergeCells count="40">
    <mergeCell ref="F39:F57"/>
    <mergeCell ref="G39:G57"/>
    <mergeCell ref="H43:H57"/>
    <mergeCell ref="I43:I57"/>
    <mergeCell ref="J43:J57"/>
    <mergeCell ref="K43:K57"/>
    <mergeCell ref="H20:H21"/>
    <mergeCell ref="I20:I21"/>
    <mergeCell ref="J20:J21"/>
    <mergeCell ref="K20:K21"/>
    <mergeCell ref="A37:C37"/>
    <mergeCell ref="A39:A57"/>
    <mergeCell ref="B39:B57"/>
    <mergeCell ref="C39:C57"/>
    <mergeCell ref="D39:D57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L8" sqref="L8:L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4" customWidth="1"/>
    <col min="6" max="6" width="5.42578125" customWidth="1"/>
    <col min="7" max="7" width="5.140625" customWidth="1"/>
    <col min="8" max="8" width="6.7109375" customWidth="1"/>
    <col min="9" max="9" width="6.14062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84" t="s">
        <v>0</v>
      </c>
      <c r="B6" s="285"/>
      <c r="C6" s="285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49.15" customHeight="1" x14ac:dyDescent="0.25">
      <c r="A7" s="20" t="s">
        <v>2</v>
      </c>
      <c r="B7" s="20" t="s">
        <v>502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4.25" customHeight="1" x14ac:dyDescent="0.25">
      <c r="A8" s="289" t="s">
        <v>345</v>
      </c>
      <c r="B8" s="335">
        <f>'درام روتاری'!B8</f>
        <v>15</v>
      </c>
      <c r="C8" s="362">
        <v>2</v>
      </c>
      <c r="D8" s="286" t="s">
        <v>260</v>
      </c>
      <c r="E8" s="332" t="s">
        <v>571</v>
      </c>
      <c r="F8" s="424" t="s">
        <v>19</v>
      </c>
      <c r="G8" s="316">
        <f>F8*C8</f>
        <v>2</v>
      </c>
      <c r="H8" s="286" t="s">
        <v>260</v>
      </c>
      <c r="I8" s="286" t="s">
        <v>571</v>
      </c>
      <c r="J8" s="286">
        <v>1</v>
      </c>
      <c r="K8" s="286">
        <v>2</v>
      </c>
      <c r="L8" s="180" t="s">
        <v>19</v>
      </c>
      <c r="M8" s="179" t="s">
        <v>572</v>
      </c>
      <c r="N8" s="72" t="s">
        <v>573</v>
      </c>
      <c r="O8" s="73">
        <v>1</v>
      </c>
      <c r="P8" s="180">
        <f>O8*$F$8</f>
        <v>1</v>
      </c>
      <c r="Q8" s="180">
        <f>P8*$C$8</f>
        <v>2</v>
      </c>
      <c r="R8" s="180">
        <f>Q8*5.5</f>
        <v>11</v>
      </c>
      <c r="S8" s="7" t="s">
        <v>506</v>
      </c>
      <c r="T8" s="53"/>
    </row>
    <row r="9" spans="1:20" ht="14.25" customHeight="1" x14ac:dyDescent="0.25">
      <c r="A9" s="290"/>
      <c r="B9" s="336"/>
      <c r="C9" s="363"/>
      <c r="D9" s="286"/>
      <c r="E9" s="332"/>
      <c r="F9" s="424"/>
      <c r="G9" s="425"/>
      <c r="H9" s="286"/>
      <c r="I9" s="286"/>
      <c r="J9" s="286"/>
      <c r="K9" s="286"/>
      <c r="L9" s="180" t="s">
        <v>21</v>
      </c>
      <c r="M9" s="179" t="s">
        <v>271</v>
      </c>
      <c r="N9" s="72" t="s">
        <v>574</v>
      </c>
      <c r="O9" s="73">
        <v>1</v>
      </c>
      <c r="P9" s="180">
        <f t="shared" ref="P9:P18" si="0">O9*$F$8</f>
        <v>1</v>
      </c>
      <c r="Q9" s="73">
        <f t="shared" ref="Q9:Q18" si="1">P9*$C$8</f>
        <v>2</v>
      </c>
      <c r="R9" s="73">
        <f>15.19*Q9</f>
        <v>30.38</v>
      </c>
      <c r="S9" s="7" t="s">
        <v>506</v>
      </c>
      <c r="T9" s="53"/>
    </row>
    <row r="10" spans="1:20" ht="14.25" customHeight="1" x14ac:dyDescent="0.25">
      <c r="A10" s="290"/>
      <c r="B10" s="336"/>
      <c r="C10" s="363"/>
      <c r="D10" s="286"/>
      <c r="E10" s="332"/>
      <c r="F10" s="424"/>
      <c r="G10" s="425"/>
      <c r="H10" s="286"/>
      <c r="I10" s="286"/>
      <c r="J10" s="286"/>
      <c r="K10" s="286"/>
      <c r="L10" s="180" t="s">
        <v>23</v>
      </c>
      <c r="M10" s="179" t="s">
        <v>575</v>
      </c>
      <c r="N10" s="130" t="str">
        <f>IF(B8=30,"4x234x1648",IF(B8=20,"4x234x1192",IF(B8=25,"4x234x1420",IF(B8=15,"4x234x964"))))</f>
        <v>4x234x964</v>
      </c>
      <c r="O10" s="73">
        <v>2</v>
      </c>
      <c r="P10" s="73">
        <f t="shared" si="0"/>
        <v>2</v>
      </c>
      <c r="Q10" s="73">
        <f t="shared" si="1"/>
        <v>4</v>
      </c>
      <c r="R10" s="45">
        <f>(IF(B8=30,"12.1",IF(B8=20,"8.75",IF(B8=25,"10.42",IF(B8=15,"7")))))*Q10</f>
        <v>28</v>
      </c>
      <c r="S10" s="7" t="s">
        <v>506</v>
      </c>
      <c r="T10" s="53"/>
    </row>
    <row r="11" spans="1:20" ht="14.25" customHeight="1" thickBot="1" x14ac:dyDescent="0.3">
      <c r="A11" s="290"/>
      <c r="B11" s="336"/>
      <c r="C11" s="363"/>
      <c r="D11" s="286"/>
      <c r="E11" s="332"/>
      <c r="F11" s="424"/>
      <c r="G11" s="425"/>
      <c r="H11" s="365"/>
      <c r="I11" s="365"/>
      <c r="J11" s="365"/>
      <c r="K11" s="365"/>
      <c r="L11" s="471" t="s">
        <v>26</v>
      </c>
      <c r="M11" s="181" t="s">
        <v>576</v>
      </c>
      <c r="N11" s="78" t="s">
        <v>577</v>
      </c>
      <c r="O11" s="79">
        <v>4</v>
      </c>
      <c r="P11" s="79">
        <f t="shared" si="0"/>
        <v>4</v>
      </c>
      <c r="Q11" s="79">
        <f t="shared" si="1"/>
        <v>8</v>
      </c>
      <c r="R11" s="79">
        <f>0.75*Q11</f>
        <v>6</v>
      </c>
      <c r="S11" s="182" t="s">
        <v>506</v>
      </c>
      <c r="T11" s="63"/>
    </row>
    <row r="12" spans="1:20" ht="14.25" customHeight="1" thickBot="1" x14ac:dyDescent="0.3">
      <c r="A12" s="290"/>
      <c r="B12" s="336"/>
      <c r="C12" s="363"/>
      <c r="D12" s="286"/>
      <c r="E12" s="332"/>
      <c r="F12" s="424"/>
      <c r="G12" s="425"/>
      <c r="H12" s="183" t="s">
        <v>44</v>
      </c>
      <c r="I12" s="183" t="s">
        <v>578</v>
      </c>
      <c r="J12" s="183">
        <v>1</v>
      </c>
      <c r="K12" s="183">
        <v>2</v>
      </c>
      <c r="L12" s="476" t="s">
        <v>19</v>
      </c>
      <c r="M12" s="184" t="s">
        <v>578</v>
      </c>
      <c r="N12" s="185" t="s">
        <v>579</v>
      </c>
      <c r="O12" s="186">
        <v>1</v>
      </c>
      <c r="P12" s="186">
        <f t="shared" si="0"/>
        <v>1</v>
      </c>
      <c r="Q12" s="186">
        <f t="shared" si="1"/>
        <v>2</v>
      </c>
      <c r="R12" s="186">
        <f>Q12</f>
        <v>2</v>
      </c>
      <c r="S12" s="187" t="s">
        <v>528</v>
      </c>
      <c r="T12" s="188"/>
    </row>
    <row r="13" spans="1:20" ht="14.25" customHeight="1" x14ac:dyDescent="0.25">
      <c r="A13" s="290"/>
      <c r="B13" s="336"/>
      <c r="C13" s="363"/>
      <c r="D13" s="286"/>
      <c r="E13" s="332"/>
      <c r="F13" s="424"/>
      <c r="G13" s="425"/>
      <c r="H13" s="394" t="s">
        <v>265</v>
      </c>
      <c r="I13" s="349" t="s">
        <v>310</v>
      </c>
      <c r="J13" s="394">
        <v>1</v>
      </c>
      <c r="K13" s="394">
        <v>2</v>
      </c>
      <c r="L13" s="474" t="s">
        <v>19</v>
      </c>
      <c r="M13" s="189" t="s">
        <v>405</v>
      </c>
      <c r="N13" s="190" t="s">
        <v>580</v>
      </c>
      <c r="O13" s="87">
        <v>2</v>
      </c>
      <c r="P13" s="87">
        <f t="shared" si="0"/>
        <v>2</v>
      </c>
      <c r="Q13" s="87">
        <f t="shared" si="1"/>
        <v>4</v>
      </c>
      <c r="R13" s="87">
        <f t="shared" ref="R13:R18" si="2">Q13</f>
        <v>4</v>
      </c>
      <c r="S13" s="191" t="s">
        <v>528</v>
      </c>
      <c r="T13" s="65"/>
    </row>
    <row r="14" spans="1:20" ht="14.25" customHeight="1" x14ac:dyDescent="0.25">
      <c r="A14" s="290"/>
      <c r="B14" s="336"/>
      <c r="C14" s="363"/>
      <c r="D14" s="286"/>
      <c r="E14" s="332"/>
      <c r="F14" s="424"/>
      <c r="G14" s="425"/>
      <c r="H14" s="424"/>
      <c r="I14" s="332"/>
      <c r="J14" s="424"/>
      <c r="K14" s="424"/>
      <c r="L14" s="180" t="s">
        <v>21</v>
      </c>
      <c r="M14" s="179" t="s">
        <v>406</v>
      </c>
      <c r="N14" s="72" t="s">
        <v>581</v>
      </c>
      <c r="O14" s="73">
        <v>2</v>
      </c>
      <c r="P14" s="73">
        <f t="shared" si="0"/>
        <v>2</v>
      </c>
      <c r="Q14" s="73">
        <f t="shared" si="1"/>
        <v>4</v>
      </c>
      <c r="R14" s="73">
        <f t="shared" si="2"/>
        <v>4</v>
      </c>
      <c r="S14" s="7" t="s">
        <v>528</v>
      </c>
      <c r="T14" s="53"/>
    </row>
    <row r="15" spans="1:20" ht="14.25" customHeight="1" x14ac:dyDescent="0.25">
      <c r="A15" s="290"/>
      <c r="B15" s="336"/>
      <c r="C15" s="363"/>
      <c r="D15" s="286"/>
      <c r="E15" s="332"/>
      <c r="F15" s="424"/>
      <c r="G15" s="425"/>
      <c r="H15" s="424"/>
      <c r="I15" s="332"/>
      <c r="J15" s="424"/>
      <c r="K15" s="424"/>
      <c r="L15" s="180" t="s">
        <v>23</v>
      </c>
      <c r="M15" s="179" t="s">
        <v>582</v>
      </c>
      <c r="N15" s="72" t="s">
        <v>583</v>
      </c>
      <c r="O15" s="73">
        <v>2</v>
      </c>
      <c r="P15" s="73">
        <f t="shared" si="0"/>
        <v>2</v>
      </c>
      <c r="Q15" s="73">
        <f t="shared" si="1"/>
        <v>4</v>
      </c>
      <c r="R15" s="73">
        <f t="shared" si="2"/>
        <v>4</v>
      </c>
      <c r="S15" s="7" t="s">
        <v>528</v>
      </c>
      <c r="T15" s="53"/>
    </row>
    <row r="16" spans="1:20" ht="14.25" customHeight="1" x14ac:dyDescent="0.25">
      <c r="A16" s="290"/>
      <c r="B16" s="336"/>
      <c r="C16" s="363"/>
      <c r="D16" s="286"/>
      <c r="E16" s="332"/>
      <c r="F16" s="424"/>
      <c r="G16" s="425"/>
      <c r="H16" s="424"/>
      <c r="I16" s="332"/>
      <c r="J16" s="424"/>
      <c r="K16" s="424"/>
      <c r="L16" s="180" t="s">
        <v>26</v>
      </c>
      <c r="M16" s="179" t="s">
        <v>584</v>
      </c>
      <c r="N16" s="72" t="s">
        <v>583</v>
      </c>
      <c r="O16" s="73">
        <v>2</v>
      </c>
      <c r="P16" s="73">
        <f t="shared" si="0"/>
        <v>2</v>
      </c>
      <c r="Q16" s="73">
        <f t="shared" si="1"/>
        <v>4</v>
      </c>
      <c r="R16" s="73">
        <f t="shared" si="2"/>
        <v>4</v>
      </c>
      <c r="S16" s="7" t="s">
        <v>528</v>
      </c>
      <c r="T16" s="53"/>
    </row>
    <row r="17" spans="1:20" ht="14.25" customHeight="1" x14ac:dyDescent="0.25">
      <c r="A17" s="290"/>
      <c r="B17" s="336"/>
      <c r="C17" s="363"/>
      <c r="D17" s="286"/>
      <c r="E17" s="332"/>
      <c r="F17" s="424"/>
      <c r="G17" s="425"/>
      <c r="H17" s="424"/>
      <c r="I17" s="332"/>
      <c r="J17" s="424"/>
      <c r="K17" s="424"/>
      <c r="L17" s="180" t="s">
        <v>29</v>
      </c>
      <c r="M17" s="179" t="s">
        <v>412</v>
      </c>
      <c r="N17" s="72" t="s">
        <v>275</v>
      </c>
      <c r="O17" s="73">
        <v>4</v>
      </c>
      <c r="P17" s="73">
        <f t="shared" si="0"/>
        <v>4</v>
      </c>
      <c r="Q17" s="73">
        <f t="shared" si="1"/>
        <v>8</v>
      </c>
      <c r="R17" s="73">
        <f t="shared" si="2"/>
        <v>8</v>
      </c>
      <c r="S17" s="7" t="s">
        <v>528</v>
      </c>
      <c r="T17" s="53"/>
    </row>
    <row r="18" spans="1:20" ht="14.25" customHeight="1" x14ac:dyDescent="0.25">
      <c r="A18" s="291"/>
      <c r="B18" s="343"/>
      <c r="C18" s="364"/>
      <c r="D18" s="286"/>
      <c r="E18" s="332"/>
      <c r="F18" s="424"/>
      <c r="G18" s="425"/>
      <c r="H18" s="424"/>
      <c r="I18" s="332"/>
      <c r="J18" s="424"/>
      <c r="K18" s="424"/>
      <c r="L18" s="180" t="s">
        <v>32</v>
      </c>
      <c r="M18" s="179" t="s">
        <v>84</v>
      </c>
      <c r="N18" s="77" t="s">
        <v>276</v>
      </c>
      <c r="O18" s="73">
        <v>4</v>
      </c>
      <c r="P18" s="73">
        <f t="shared" si="0"/>
        <v>4</v>
      </c>
      <c r="Q18" s="73">
        <f t="shared" si="1"/>
        <v>8</v>
      </c>
      <c r="R18" s="73">
        <f t="shared" si="2"/>
        <v>8</v>
      </c>
      <c r="S18" s="7" t="s">
        <v>528</v>
      </c>
      <c r="T18" s="53"/>
    </row>
    <row r="19" spans="1:20" x14ac:dyDescent="0.25">
      <c r="J19" s="5"/>
      <c r="K19" s="5"/>
    </row>
    <row r="21" spans="1:20" x14ac:dyDescent="0.25">
      <c r="Q21" s="192"/>
    </row>
    <row r="25" spans="1:20" ht="15.75" x14ac:dyDescent="0.25">
      <c r="M25" s="59"/>
    </row>
    <row r="26" spans="1:20" hidden="1" x14ac:dyDescent="0.25">
      <c r="B26" s="193">
        <v>15</v>
      </c>
    </row>
    <row r="27" spans="1:20" hidden="1" x14ac:dyDescent="0.25">
      <c r="B27" s="193">
        <v>20</v>
      </c>
    </row>
    <row r="28" spans="1:20" hidden="1" x14ac:dyDescent="0.25">
      <c r="B28" s="193">
        <v>25</v>
      </c>
    </row>
    <row r="29" spans="1:20" hidden="1" x14ac:dyDescent="0.25">
      <c r="B29" s="193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N9" sqref="N9"/>
    </sheetView>
  </sheetViews>
  <sheetFormatPr defaultRowHeight="15" x14ac:dyDescent="0.25"/>
  <cols>
    <col min="1" max="1" width="5" customWidth="1"/>
    <col min="2" max="2" width="5.28515625" customWidth="1"/>
    <col min="3" max="4" width="5.140625" customWidth="1"/>
    <col min="5" max="5" width="5.85546875" customWidth="1"/>
    <col min="6" max="6" width="5.42578125" customWidth="1"/>
    <col min="7" max="7" width="5.140625" customWidth="1"/>
    <col min="8" max="8" width="5" customWidth="1"/>
    <col min="9" max="9" width="7.14062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7" width="5.140625" customWidth="1"/>
    <col min="18" max="18" width="7" customWidth="1"/>
    <col min="19" max="19" width="4.8554687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284" t="s">
        <v>0</v>
      </c>
      <c r="B6" s="285"/>
      <c r="C6" s="285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5">
      <c r="A7" s="20" t="s">
        <v>2</v>
      </c>
      <c r="B7" s="20" t="s">
        <v>502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x14ac:dyDescent="0.25">
      <c r="A8" s="426" t="s">
        <v>345</v>
      </c>
      <c r="B8" s="330">
        <f>'درام روتاری'!B8</f>
        <v>15</v>
      </c>
      <c r="C8" s="330">
        <v>2</v>
      </c>
      <c r="D8" s="426" t="s">
        <v>265</v>
      </c>
      <c r="E8" s="427" t="s">
        <v>585</v>
      </c>
      <c r="F8" s="429">
        <v>1</v>
      </c>
      <c r="G8" s="425">
        <f>C8*F8</f>
        <v>2</v>
      </c>
      <c r="H8" s="425" t="s">
        <v>260</v>
      </c>
      <c r="I8" s="425" t="s">
        <v>585</v>
      </c>
      <c r="J8" s="425">
        <v>1</v>
      </c>
      <c r="K8" s="425">
        <f>J8*G8</f>
        <v>2</v>
      </c>
      <c r="L8" s="475" t="s">
        <v>19</v>
      </c>
      <c r="M8" s="194" t="s">
        <v>572</v>
      </c>
      <c r="N8" s="195" t="s">
        <v>586</v>
      </c>
      <c r="O8" s="195">
        <v>1</v>
      </c>
      <c r="P8" s="130">
        <f>O8*$F$8</f>
        <v>1</v>
      </c>
      <c r="Q8" s="130">
        <f>P8*$C$8</f>
        <v>2</v>
      </c>
      <c r="R8" s="130">
        <f>5.65*Q8</f>
        <v>11.3</v>
      </c>
      <c r="S8" s="130" t="s">
        <v>506</v>
      </c>
      <c r="T8" s="196"/>
    </row>
    <row r="9" spans="1:20" x14ac:dyDescent="0.25">
      <c r="A9" s="426"/>
      <c r="B9" s="330"/>
      <c r="C9" s="330"/>
      <c r="D9" s="426"/>
      <c r="E9" s="427"/>
      <c r="F9" s="429"/>
      <c r="G9" s="425"/>
      <c r="H9" s="425"/>
      <c r="I9" s="425"/>
      <c r="J9" s="425"/>
      <c r="K9" s="425"/>
      <c r="L9" s="475" t="s">
        <v>21</v>
      </c>
      <c r="M9" s="194" t="s">
        <v>271</v>
      </c>
      <c r="N9" s="195" t="s">
        <v>587</v>
      </c>
      <c r="O9" s="195">
        <v>3</v>
      </c>
      <c r="P9" s="130">
        <f t="shared" ref="P9:P23" si="0">O9*$F$8</f>
        <v>3</v>
      </c>
      <c r="Q9" s="130">
        <f t="shared" ref="Q9:Q23" si="1">P9*$C$8</f>
        <v>6</v>
      </c>
      <c r="R9" s="130">
        <f>Q9*1.5</f>
        <v>9</v>
      </c>
      <c r="S9" s="130" t="s">
        <v>506</v>
      </c>
      <c r="T9" s="196"/>
    </row>
    <row r="10" spans="1:20" x14ac:dyDescent="0.25">
      <c r="A10" s="426"/>
      <c r="B10" s="330"/>
      <c r="C10" s="330"/>
      <c r="D10" s="426"/>
      <c r="E10" s="427"/>
      <c r="F10" s="429"/>
      <c r="G10" s="425"/>
      <c r="H10" s="425"/>
      <c r="I10" s="425"/>
      <c r="J10" s="425"/>
      <c r="K10" s="425"/>
      <c r="L10" s="475" t="s">
        <v>23</v>
      </c>
      <c r="M10" s="194" t="s">
        <v>588</v>
      </c>
      <c r="N10" s="195" t="s">
        <v>589</v>
      </c>
      <c r="O10" s="195">
        <v>1</v>
      </c>
      <c r="P10" s="130">
        <f t="shared" si="0"/>
        <v>1</v>
      </c>
      <c r="Q10" s="130">
        <f t="shared" si="1"/>
        <v>2</v>
      </c>
      <c r="R10" s="130">
        <f>2.3*Q10</f>
        <v>4.5999999999999996</v>
      </c>
      <c r="S10" s="130" t="s">
        <v>506</v>
      </c>
      <c r="T10" s="196"/>
    </row>
    <row r="11" spans="1:20" x14ac:dyDescent="0.25">
      <c r="A11" s="426"/>
      <c r="B11" s="330"/>
      <c r="C11" s="330"/>
      <c r="D11" s="426"/>
      <c r="E11" s="427"/>
      <c r="F11" s="429"/>
      <c r="G11" s="425"/>
      <c r="H11" s="425"/>
      <c r="I11" s="425"/>
      <c r="J11" s="425"/>
      <c r="K11" s="425"/>
      <c r="L11" s="475" t="s">
        <v>26</v>
      </c>
      <c r="M11" s="194" t="s">
        <v>590</v>
      </c>
      <c r="N11" s="45" t="str">
        <f>IF(B8=30,"70x70,L=1677",IF(B8=20,"70x70,L=1213",IF(B8=25,"70x70,L=1445",IF(B8=15,"70x70,L=981"))))</f>
        <v>70x70,L=981</v>
      </c>
      <c r="O11" s="195">
        <v>2</v>
      </c>
      <c r="P11" s="130">
        <f t="shared" si="0"/>
        <v>2</v>
      </c>
      <c r="Q11" s="130">
        <f t="shared" si="1"/>
        <v>4</v>
      </c>
      <c r="R11" s="45">
        <f>(IF(B8=30,"11",IF(B8=20,"8",IF(B8=25,"9.53",IF(B8=15,"6.46")))))*Q11</f>
        <v>25.84</v>
      </c>
      <c r="S11" s="130" t="s">
        <v>506</v>
      </c>
      <c r="T11" s="196"/>
    </row>
    <row r="12" spans="1:20" x14ac:dyDescent="0.25">
      <c r="A12" s="426"/>
      <c r="B12" s="330"/>
      <c r="C12" s="330"/>
      <c r="D12" s="426"/>
      <c r="E12" s="427"/>
      <c r="F12" s="429"/>
      <c r="G12" s="425"/>
      <c r="H12" s="425"/>
      <c r="I12" s="425"/>
      <c r="J12" s="425"/>
      <c r="K12" s="425"/>
      <c r="L12" s="475" t="s">
        <v>29</v>
      </c>
      <c r="M12" s="194" t="s">
        <v>591</v>
      </c>
      <c r="N12" s="45" t="str">
        <f>IF(B8=30,"70x70,L=1718",IF(B8=20,"70x70,L=1177",IF(B8=25,"70x70,L=1447",IF(B8=15,"70x70,L=906"))))</f>
        <v>70x70,L=906</v>
      </c>
      <c r="O12" s="195">
        <v>1</v>
      </c>
      <c r="P12" s="130">
        <f t="shared" si="0"/>
        <v>1</v>
      </c>
      <c r="Q12" s="130">
        <f t="shared" si="1"/>
        <v>2</v>
      </c>
      <c r="R12" s="45">
        <f>(IF(B8=30,"12.1",IF(B8=20,"8.75",IF(B8=25,"10.42",IF(B8=15,"7")))))*Q12</f>
        <v>14</v>
      </c>
      <c r="S12" s="130" t="s">
        <v>506</v>
      </c>
      <c r="T12" s="196"/>
    </row>
    <row r="13" spans="1:20" x14ac:dyDescent="0.25">
      <c r="A13" s="426"/>
      <c r="B13" s="330"/>
      <c r="C13" s="330"/>
      <c r="D13" s="426"/>
      <c r="E13" s="427"/>
      <c r="F13" s="429"/>
      <c r="G13" s="425"/>
      <c r="H13" s="425"/>
      <c r="I13" s="425"/>
      <c r="J13" s="425"/>
      <c r="K13" s="425"/>
      <c r="L13" s="475" t="s">
        <v>32</v>
      </c>
      <c r="M13" s="194" t="s">
        <v>592</v>
      </c>
      <c r="N13" s="45" t="str">
        <f>IF(B8=30,"3x270x700",IF(B8=20,"3x270x500",IF(B8=25,"3x270x600",IF(B8=15,"3x270x400"))))</f>
        <v>3x270x400</v>
      </c>
      <c r="O13" s="195">
        <v>1</v>
      </c>
      <c r="P13" s="130">
        <f t="shared" si="0"/>
        <v>1</v>
      </c>
      <c r="Q13" s="130">
        <f t="shared" si="1"/>
        <v>2</v>
      </c>
      <c r="R13" s="45">
        <f>(IF(B8=30,"4.45",IF(B8=20,"3.18",IF(B8=25,"3.81",IF(B8=15,"2.54")))))*Q13</f>
        <v>5.08</v>
      </c>
      <c r="S13" s="130" t="s">
        <v>506</v>
      </c>
      <c r="T13" s="196"/>
    </row>
    <row r="14" spans="1:20" ht="28.5" x14ac:dyDescent="0.25">
      <c r="A14" s="426"/>
      <c r="B14" s="330"/>
      <c r="C14" s="330"/>
      <c r="D14" s="426"/>
      <c r="E14" s="427"/>
      <c r="F14" s="429"/>
      <c r="G14" s="425"/>
      <c r="H14" s="425"/>
      <c r="I14" s="425"/>
      <c r="J14" s="425"/>
      <c r="K14" s="425"/>
      <c r="L14" s="475" t="s">
        <v>35</v>
      </c>
      <c r="M14" s="197" t="s">
        <v>593</v>
      </c>
      <c r="N14" s="195" t="s">
        <v>594</v>
      </c>
      <c r="O14" s="195">
        <v>1</v>
      </c>
      <c r="P14" s="130">
        <f t="shared" si="0"/>
        <v>1</v>
      </c>
      <c r="Q14" s="130">
        <f t="shared" si="1"/>
        <v>2</v>
      </c>
      <c r="R14" s="130">
        <f>1.06*Q14</f>
        <v>2.12</v>
      </c>
      <c r="S14" s="130" t="s">
        <v>506</v>
      </c>
      <c r="T14" s="196"/>
    </row>
    <row r="15" spans="1:20" x14ac:dyDescent="0.25">
      <c r="A15" s="426"/>
      <c r="B15" s="330"/>
      <c r="C15" s="330"/>
      <c r="D15" s="426"/>
      <c r="E15" s="427"/>
      <c r="F15" s="429"/>
      <c r="G15" s="425"/>
      <c r="H15" s="425"/>
      <c r="I15" s="425"/>
      <c r="J15" s="425"/>
      <c r="K15" s="425"/>
      <c r="L15" s="475" t="s">
        <v>37</v>
      </c>
      <c r="M15" s="194" t="s">
        <v>595</v>
      </c>
      <c r="N15" s="195" t="s">
        <v>596</v>
      </c>
      <c r="O15" s="195">
        <v>1</v>
      </c>
      <c r="P15" s="130">
        <f t="shared" si="0"/>
        <v>1</v>
      </c>
      <c r="Q15" s="130">
        <f t="shared" si="1"/>
        <v>2</v>
      </c>
      <c r="R15" s="130">
        <f>0.33*Q15</f>
        <v>0.66</v>
      </c>
      <c r="S15" s="130" t="s">
        <v>506</v>
      </c>
      <c r="T15" s="196"/>
    </row>
    <row r="16" spans="1:20" x14ac:dyDescent="0.25">
      <c r="A16" s="426"/>
      <c r="B16" s="330"/>
      <c r="C16" s="330"/>
      <c r="D16" s="426"/>
      <c r="E16" s="427"/>
      <c r="F16" s="429"/>
      <c r="G16" s="425"/>
      <c r="H16" s="425"/>
      <c r="I16" s="425"/>
      <c r="J16" s="425"/>
      <c r="K16" s="425"/>
      <c r="L16" s="475" t="s">
        <v>40</v>
      </c>
      <c r="M16" s="194" t="s">
        <v>597</v>
      </c>
      <c r="N16" s="195" t="s">
        <v>270</v>
      </c>
      <c r="O16" s="195">
        <v>1</v>
      </c>
      <c r="P16" s="130">
        <f t="shared" si="0"/>
        <v>1</v>
      </c>
      <c r="Q16" s="130">
        <f t="shared" si="1"/>
        <v>2</v>
      </c>
      <c r="R16" s="130">
        <f>0.15*Q16</f>
        <v>0.3</v>
      </c>
      <c r="S16" s="130" t="s">
        <v>506</v>
      </c>
      <c r="T16" s="196"/>
    </row>
    <row r="17" spans="1:20" x14ac:dyDescent="0.25">
      <c r="A17" s="426"/>
      <c r="B17" s="330"/>
      <c r="C17" s="330"/>
      <c r="D17" s="426"/>
      <c r="E17" s="427"/>
      <c r="F17" s="429"/>
      <c r="G17" s="425"/>
      <c r="H17" s="425"/>
      <c r="I17" s="425"/>
      <c r="J17" s="425"/>
      <c r="K17" s="425"/>
      <c r="L17" s="475" t="s">
        <v>51</v>
      </c>
      <c r="M17" s="194" t="s">
        <v>598</v>
      </c>
      <c r="N17" s="45" t="str">
        <f>IF(B8=30,"40x40,L=700",IF(B8=20,"40x40,L=500",IF(B8=25,"40x40,L=600",IF(B8=15,"40x40,L=400"))))</f>
        <v>40x40,L=400</v>
      </c>
      <c r="O17" s="195">
        <v>1</v>
      </c>
      <c r="P17" s="130">
        <f t="shared" si="0"/>
        <v>1</v>
      </c>
      <c r="Q17" s="130">
        <f t="shared" si="1"/>
        <v>2</v>
      </c>
      <c r="R17" s="45">
        <f>(IF(B8=30,"1.75",IF(B8=20,"1.25",IF(B8=25,"1.5",IF(B8=15,"1")))))*Q17</f>
        <v>2</v>
      </c>
      <c r="S17" s="130" t="s">
        <v>506</v>
      </c>
      <c r="T17" s="196"/>
    </row>
    <row r="18" spans="1:20" x14ac:dyDescent="0.25">
      <c r="A18" s="426"/>
      <c r="B18" s="330"/>
      <c r="C18" s="330"/>
      <c r="D18" s="426"/>
      <c r="E18" s="427"/>
      <c r="F18" s="429"/>
      <c r="G18" s="425"/>
      <c r="H18" s="425"/>
      <c r="I18" s="425"/>
      <c r="J18" s="425"/>
      <c r="K18" s="425"/>
      <c r="L18" s="475" t="s">
        <v>52</v>
      </c>
      <c r="M18" s="194" t="s">
        <v>599</v>
      </c>
      <c r="N18" s="45" t="str">
        <f>IF(B8=30,"40x40,L=800",IF(B8=20,"40x40,L=600",IF(B8=25,"40x40,L=700",IF(B8=15,"40x40,L=500"))))</f>
        <v>40x40,L=500</v>
      </c>
      <c r="O18" s="195">
        <v>1</v>
      </c>
      <c r="P18" s="130">
        <f t="shared" si="0"/>
        <v>1</v>
      </c>
      <c r="Q18" s="130">
        <f t="shared" si="1"/>
        <v>2</v>
      </c>
      <c r="R18" s="45">
        <f>(IF(B8=30,"2",IF(B8=20,"1.5",IF(B8=25,"1.75",IF(B8=15,"1.25")))))*Q18</f>
        <v>2.5</v>
      </c>
      <c r="S18" s="130" t="s">
        <v>506</v>
      </c>
      <c r="T18" s="196"/>
    </row>
    <row r="19" spans="1:20" x14ac:dyDescent="0.25">
      <c r="A19" s="426"/>
      <c r="B19" s="330"/>
      <c r="C19" s="330"/>
      <c r="D19" s="426"/>
      <c r="E19" s="427"/>
      <c r="F19" s="429"/>
      <c r="G19" s="425"/>
      <c r="H19" s="425"/>
      <c r="I19" s="425"/>
      <c r="J19" s="425"/>
      <c r="K19" s="425"/>
      <c r="L19" s="475" t="s">
        <v>53</v>
      </c>
      <c r="M19" s="194" t="s">
        <v>600</v>
      </c>
      <c r="N19" s="195" t="s">
        <v>601</v>
      </c>
      <c r="O19" s="195">
        <v>1</v>
      </c>
      <c r="P19" s="130">
        <f t="shared" si="0"/>
        <v>1</v>
      </c>
      <c r="Q19" s="130">
        <f t="shared" si="1"/>
        <v>2</v>
      </c>
      <c r="R19" s="130">
        <f>Q19*1.68</f>
        <v>3.36</v>
      </c>
      <c r="S19" s="130" t="s">
        <v>506</v>
      </c>
      <c r="T19" s="196"/>
    </row>
    <row r="20" spans="1:20" x14ac:dyDescent="0.25">
      <c r="A20" s="426"/>
      <c r="B20" s="330"/>
      <c r="C20" s="330"/>
      <c r="D20" s="426"/>
      <c r="E20" s="427"/>
      <c r="F20" s="429"/>
      <c r="G20" s="425"/>
      <c r="H20" s="425"/>
      <c r="I20" s="425"/>
      <c r="J20" s="425"/>
      <c r="K20" s="425"/>
      <c r="L20" s="475" t="s">
        <v>57</v>
      </c>
      <c r="M20" s="194" t="s">
        <v>602</v>
      </c>
      <c r="N20" s="195" t="s">
        <v>603</v>
      </c>
      <c r="O20" s="195">
        <v>3</v>
      </c>
      <c r="P20" s="130">
        <f t="shared" si="0"/>
        <v>3</v>
      </c>
      <c r="Q20" s="130">
        <f t="shared" si="1"/>
        <v>6</v>
      </c>
      <c r="R20" s="130">
        <f>0.126*Q20</f>
        <v>0.75600000000000001</v>
      </c>
      <c r="S20" s="130" t="s">
        <v>506</v>
      </c>
      <c r="T20" s="196"/>
    </row>
    <row r="21" spans="1:20" x14ac:dyDescent="0.25">
      <c r="A21" s="426"/>
      <c r="B21" s="330"/>
      <c r="C21" s="330"/>
      <c r="D21" s="426"/>
      <c r="E21" s="427"/>
      <c r="F21" s="429"/>
      <c r="G21" s="425"/>
      <c r="H21" s="425"/>
      <c r="I21" s="425"/>
      <c r="J21" s="425"/>
      <c r="K21" s="425"/>
      <c r="L21" s="475" t="s">
        <v>58</v>
      </c>
      <c r="M21" s="194" t="s">
        <v>604</v>
      </c>
      <c r="N21" s="195" t="s">
        <v>605</v>
      </c>
      <c r="O21" s="195">
        <v>2</v>
      </c>
      <c r="P21" s="130">
        <f t="shared" si="0"/>
        <v>2</v>
      </c>
      <c r="Q21" s="130">
        <f t="shared" si="1"/>
        <v>4</v>
      </c>
      <c r="R21" s="130">
        <f>Q21*0.1</f>
        <v>0.4</v>
      </c>
      <c r="S21" s="130" t="s">
        <v>506</v>
      </c>
      <c r="T21" s="54"/>
    </row>
    <row r="22" spans="1:20" x14ac:dyDescent="0.25">
      <c r="A22" s="426"/>
      <c r="B22" s="330"/>
      <c r="C22" s="330"/>
      <c r="D22" s="426"/>
      <c r="E22" s="427"/>
      <c r="F22" s="429"/>
      <c r="G22" s="425"/>
      <c r="H22" s="425"/>
      <c r="I22" s="425"/>
      <c r="J22" s="425"/>
      <c r="K22" s="425"/>
      <c r="L22" s="475">
        <v>15</v>
      </c>
      <c r="M22" s="194" t="s">
        <v>606</v>
      </c>
      <c r="N22" s="195" t="s">
        <v>607</v>
      </c>
      <c r="O22" s="195">
        <v>1</v>
      </c>
      <c r="P22" s="130">
        <f t="shared" si="0"/>
        <v>1</v>
      </c>
      <c r="Q22" s="130">
        <f t="shared" si="1"/>
        <v>2</v>
      </c>
      <c r="R22" s="130">
        <f>Q22*0.254</f>
        <v>0.50800000000000001</v>
      </c>
      <c r="S22" s="130" t="s">
        <v>506</v>
      </c>
      <c r="T22" s="196"/>
    </row>
    <row r="23" spans="1:20" x14ac:dyDescent="0.25">
      <c r="A23" s="426"/>
      <c r="B23" s="330"/>
      <c r="C23" s="330"/>
      <c r="D23" s="426"/>
      <c r="E23" s="427"/>
      <c r="F23" s="429"/>
      <c r="G23" s="425"/>
      <c r="H23" s="425"/>
      <c r="I23" s="425"/>
      <c r="J23" s="425"/>
      <c r="K23" s="425"/>
      <c r="L23" s="475">
        <v>16</v>
      </c>
      <c r="M23" s="198" t="s">
        <v>608</v>
      </c>
      <c r="N23" s="199" t="s">
        <v>609</v>
      </c>
      <c r="O23" s="195">
        <v>2</v>
      </c>
      <c r="P23" s="130">
        <f t="shared" si="0"/>
        <v>2</v>
      </c>
      <c r="Q23" s="130">
        <f t="shared" si="1"/>
        <v>4</v>
      </c>
      <c r="R23" s="130">
        <f>Q23*0.088</f>
        <v>0.35199999999999998</v>
      </c>
      <c r="S23" s="130" t="s">
        <v>506</v>
      </c>
      <c r="T23" s="196"/>
    </row>
    <row r="24" spans="1:20" x14ac:dyDescent="0.25">
      <c r="J24" s="5"/>
      <c r="K24" s="5"/>
    </row>
    <row r="35" spans="1:20" ht="19.5" x14ac:dyDescent="0.25">
      <c r="A35" s="284" t="s">
        <v>0</v>
      </c>
      <c r="B35" s="285"/>
      <c r="C35" s="285"/>
      <c r="D35" s="11"/>
      <c r="E35" s="12"/>
      <c r="F35" s="12" t="s">
        <v>14</v>
      </c>
      <c r="G35" s="13"/>
      <c r="H35" s="12"/>
      <c r="I35" s="12" t="s">
        <v>13</v>
      </c>
      <c r="J35" s="12"/>
      <c r="K35" s="13"/>
      <c r="L35" s="11"/>
      <c r="M35" s="12"/>
      <c r="N35" s="6" t="s">
        <v>1</v>
      </c>
      <c r="O35" s="12"/>
      <c r="P35" s="12"/>
      <c r="Q35" s="12"/>
      <c r="R35" s="21"/>
      <c r="S35" s="21"/>
      <c r="T35" s="17" t="s">
        <v>15</v>
      </c>
    </row>
    <row r="36" spans="1:20" ht="50.25" customHeight="1" x14ac:dyDescent="0.25">
      <c r="A36" s="29" t="s">
        <v>2</v>
      </c>
      <c r="B36" s="29" t="s">
        <v>502</v>
      </c>
      <c r="C36" s="30" t="s">
        <v>3</v>
      </c>
      <c r="D36" s="30" t="s">
        <v>4</v>
      </c>
      <c r="E36" s="31" t="s">
        <v>5</v>
      </c>
      <c r="F36" s="30" t="s">
        <v>6</v>
      </c>
      <c r="G36" s="30" t="s">
        <v>3</v>
      </c>
      <c r="H36" s="30" t="s">
        <v>10</v>
      </c>
      <c r="I36" s="30" t="s">
        <v>5</v>
      </c>
      <c r="J36" s="29" t="s">
        <v>12</v>
      </c>
      <c r="K36" s="30" t="s">
        <v>11</v>
      </c>
      <c r="L36" s="32" t="s">
        <v>7</v>
      </c>
      <c r="M36" s="31" t="s">
        <v>5</v>
      </c>
      <c r="N36" s="31" t="s">
        <v>9</v>
      </c>
      <c r="O36" s="30" t="s">
        <v>8</v>
      </c>
      <c r="P36" s="30" t="s">
        <v>6</v>
      </c>
      <c r="Q36" s="200" t="s">
        <v>3</v>
      </c>
      <c r="R36" s="200" t="s">
        <v>17</v>
      </c>
      <c r="S36" s="200" t="s">
        <v>18</v>
      </c>
      <c r="T36" s="30" t="s">
        <v>16</v>
      </c>
    </row>
    <row r="37" spans="1:20" ht="14.25" customHeight="1" x14ac:dyDescent="0.25">
      <c r="A37" s="431" t="s">
        <v>345</v>
      </c>
      <c r="B37" s="434">
        <f>'درام روتاری'!B8</f>
        <v>15</v>
      </c>
      <c r="C37" s="428" t="s">
        <v>19</v>
      </c>
      <c r="D37" s="428" t="s">
        <v>265</v>
      </c>
      <c r="E37" s="428" t="s">
        <v>585</v>
      </c>
      <c r="F37" s="428" t="s">
        <v>19</v>
      </c>
      <c r="G37" s="430">
        <f>F37*C37</f>
        <v>1</v>
      </c>
      <c r="H37" s="424" t="s">
        <v>260</v>
      </c>
      <c r="I37" s="424" t="s">
        <v>585</v>
      </c>
      <c r="J37" s="424">
        <v>1</v>
      </c>
      <c r="K37" s="424">
        <v>2</v>
      </c>
      <c r="L37" s="180" t="s">
        <v>67</v>
      </c>
      <c r="M37" s="52" t="s">
        <v>610</v>
      </c>
      <c r="N37" s="114" t="s">
        <v>611</v>
      </c>
      <c r="O37" s="127">
        <v>2</v>
      </c>
      <c r="P37" s="127">
        <f>O37*$F$37</f>
        <v>2</v>
      </c>
      <c r="Q37" s="127">
        <f>P37*C$37</f>
        <v>2</v>
      </c>
      <c r="R37" s="127">
        <f>Q37</f>
        <v>2</v>
      </c>
      <c r="S37" s="146" t="s">
        <v>528</v>
      </c>
      <c r="T37" s="131"/>
    </row>
    <row r="38" spans="1:20" ht="14.25" customHeight="1" x14ac:dyDescent="0.25">
      <c r="A38" s="432"/>
      <c r="B38" s="435"/>
      <c r="C38" s="422"/>
      <c r="D38" s="422"/>
      <c r="E38" s="422"/>
      <c r="F38" s="422"/>
      <c r="G38" s="420"/>
      <c r="H38" s="424"/>
      <c r="I38" s="424"/>
      <c r="J38" s="424"/>
      <c r="K38" s="424"/>
      <c r="L38" s="180" t="s">
        <v>68</v>
      </c>
      <c r="M38" s="52" t="s">
        <v>612</v>
      </c>
      <c r="N38" s="114" t="s">
        <v>613</v>
      </c>
      <c r="O38" s="127">
        <v>2</v>
      </c>
      <c r="P38" s="127">
        <f t="shared" ref="P38:P49" si="2">O38*$F$37</f>
        <v>2</v>
      </c>
      <c r="Q38" s="127">
        <f t="shared" ref="Q38:Q49" si="3">P38*C$37</f>
        <v>2</v>
      </c>
      <c r="R38" s="127">
        <f t="shared" ref="R38:R49" si="4">Q38</f>
        <v>2</v>
      </c>
      <c r="S38" s="146" t="s">
        <v>528</v>
      </c>
      <c r="T38" s="131"/>
    </row>
    <row r="39" spans="1:20" ht="14.25" customHeight="1" x14ac:dyDescent="0.25">
      <c r="A39" s="432"/>
      <c r="B39" s="435"/>
      <c r="C39" s="422"/>
      <c r="D39" s="422"/>
      <c r="E39" s="422"/>
      <c r="F39" s="422"/>
      <c r="G39" s="420"/>
      <c r="H39" s="424"/>
      <c r="I39" s="424"/>
      <c r="J39" s="424"/>
      <c r="K39" s="424"/>
      <c r="L39" s="180" t="s">
        <v>69</v>
      </c>
      <c r="M39" s="52" t="s">
        <v>614</v>
      </c>
      <c r="N39" s="114" t="s">
        <v>615</v>
      </c>
      <c r="O39" s="127">
        <v>4</v>
      </c>
      <c r="P39" s="127">
        <f t="shared" si="2"/>
        <v>4</v>
      </c>
      <c r="Q39" s="127">
        <f t="shared" si="3"/>
        <v>4</v>
      </c>
      <c r="R39" s="127">
        <f t="shared" si="4"/>
        <v>4</v>
      </c>
      <c r="S39" s="146" t="s">
        <v>528</v>
      </c>
      <c r="T39" s="131"/>
    </row>
    <row r="40" spans="1:20" ht="14.25" customHeight="1" x14ac:dyDescent="0.25">
      <c r="A40" s="432"/>
      <c r="B40" s="435"/>
      <c r="C40" s="422"/>
      <c r="D40" s="422"/>
      <c r="E40" s="422"/>
      <c r="F40" s="422"/>
      <c r="G40" s="420"/>
      <c r="H40" s="393"/>
      <c r="I40" s="393"/>
      <c r="J40" s="393"/>
      <c r="K40" s="393"/>
      <c r="L40" s="180" t="s">
        <v>70</v>
      </c>
      <c r="M40" s="52" t="s">
        <v>616</v>
      </c>
      <c r="N40" s="114" t="s">
        <v>615</v>
      </c>
      <c r="O40" s="127">
        <v>2</v>
      </c>
      <c r="P40" s="127">
        <f t="shared" si="2"/>
        <v>2</v>
      </c>
      <c r="Q40" s="127">
        <f t="shared" si="3"/>
        <v>2</v>
      </c>
      <c r="R40" s="127">
        <f t="shared" si="4"/>
        <v>2</v>
      </c>
      <c r="S40" s="146" t="s">
        <v>528</v>
      </c>
      <c r="T40" s="202"/>
    </row>
    <row r="41" spans="1:20" ht="14.25" customHeight="1" x14ac:dyDescent="0.25">
      <c r="A41" s="432"/>
      <c r="B41" s="435"/>
      <c r="C41" s="422"/>
      <c r="D41" s="422"/>
      <c r="E41" s="422"/>
      <c r="F41" s="422"/>
      <c r="G41" s="420"/>
      <c r="H41" s="393"/>
      <c r="I41" s="393"/>
      <c r="J41" s="393"/>
      <c r="K41" s="393"/>
      <c r="L41" s="470" t="s">
        <v>77</v>
      </c>
      <c r="M41" s="203" t="s">
        <v>617</v>
      </c>
      <c r="N41" s="464" t="s">
        <v>618</v>
      </c>
      <c r="O41" s="223">
        <v>1</v>
      </c>
      <c r="P41" s="223">
        <f t="shared" si="2"/>
        <v>1</v>
      </c>
      <c r="Q41" s="223">
        <f t="shared" si="3"/>
        <v>1</v>
      </c>
      <c r="R41" s="223">
        <f t="shared" si="4"/>
        <v>1</v>
      </c>
      <c r="S41" s="223" t="s">
        <v>528</v>
      </c>
      <c r="T41" s="202"/>
    </row>
    <row r="42" spans="1:20" ht="14.25" customHeight="1" thickBot="1" x14ac:dyDescent="0.3">
      <c r="A42" s="432"/>
      <c r="B42" s="435"/>
      <c r="C42" s="422"/>
      <c r="D42" s="422"/>
      <c r="E42" s="422"/>
      <c r="F42" s="422"/>
      <c r="G42" s="420"/>
      <c r="H42" s="437"/>
      <c r="I42" s="437"/>
      <c r="J42" s="437"/>
      <c r="K42" s="437"/>
      <c r="L42" s="471" t="s">
        <v>78</v>
      </c>
      <c r="M42" s="204" t="s">
        <v>619</v>
      </c>
      <c r="N42" s="465" t="s">
        <v>620</v>
      </c>
      <c r="O42" s="150">
        <v>1</v>
      </c>
      <c r="P42" s="150">
        <f t="shared" si="2"/>
        <v>1</v>
      </c>
      <c r="Q42" s="150">
        <f t="shared" si="3"/>
        <v>1</v>
      </c>
      <c r="R42" s="150">
        <f t="shared" si="4"/>
        <v>1</v>
      </c>
      <c r="S42" s="150" t="s">
        <v>528</v>
      </c>
      <c r="T42" s="135"/>
    </row>
    <row r="43" spans="1:20" ht="14.25" customHeight="1" thickBot="1" x14ac:dyDescent="0.3">
      <c r="A43" s="432"/>
      <c r="B43" s="435"/>
      <c r="C43" s="422"/>
      <c r="D43" s="422"/>
      <c r="E43" s="422"/>
      <c r="F43" s="422"/>
      <c r="G43" s="420"/>
      <c r="H43" s="205" t="s">
        <v>44</v>
      </c>
      <c r="I43" s="205" t="s">
        <v>578</v>
      </c>
      <c r="J43" s="205" t="s">
        <v>44</v>
      </c>
      <c r="K43" s="205" t="s">
        <v>44</v>
      </c>
      <c r="L43" s="472" t="s">
        <v>19</v>
      </c>
      <c r="M43" s="206" t="s">
        <v>578</v>
      </c>
      <c r="N43" s="466" t="s">
        <v>579</v>
      </c>
      <c r="O43" s="467">
        <v>1</v>
      </c>
      <c r="P43" s="467">
        <f t="shared" si="2"/>
        <v>1</v>
      </c>
      <c r="Q43" s="467">
        <f t="shared" si="3"/>
        <v>1</v>
      </c>
      <c r="R43" s="467">
        <f t="shared" si="4"/>
        <v>1</v>
      </c>
      <c r="S43" s="467" t="s">
        <v>528</v>
      </c>
      <c r="T43" s="207"/>
    </row>
    <row r="44" spans="1:20" ht="14.25" customHeight="1" x14ac:dyDescent="0.25">
      <c r="A44" s="432"/>
      <c r="B44" s="435"/>
      <c r="C44" s="422"/>
      <c r="D44" s="422"/>
      <c r="E44" s="422"/>
      <c r="F44" s="422"/>
      <c r="G44" s="420"/>
      <c r="H44" s="409" t="s">
        <v>265</v>
      </c>
      <c r="I44" s="438" t="s">
        <v>310</v>
      </c>
      <c r="J44" s="409">
        <v>1</v>
      </c>
      <c r="K44" s="409">
        <v>2</v>
      </c>
      <c r="L44" s="473" t="s">
        <v>19</v>
      </c>
      <c r="M44" s="208" t="s">
        <v>412</v>
      </c>
      <c r="N44" s="468" t="s">
        <v>275</v>
      </c>
      <c r="O44" s="469">
        <v>6</v>
      </c>
      <c r="P44" s="469">
        <f t="shared" si="2"/>
        <v>6</v>
      </c>
      <c r="Q44" s="469">
        <f t="shared" si="3"/>
        <v>6</v>
      </c>
      <c r="R44" s="469">
        <f t="shared" si="4"/>
        <v>6</v>
      </c>
      <c r="S44" s="469" t="s">
        <v>528</v>
      </c>
      <c r="T44" s="202"/>
    </row>
    <row r="45" spans="1:20" ht="14.25" customHeight="1" x14ac:dyDescent="0.25">
      <c r="A45" s="432"/>
      <c r="B45" s="435"/>
      <c r="C45" s="422"/>
      <c r="D45" s="422"/>
      <c r="E45" s="422"/>
      <c r="F45" s="422"/>
      <c r="G45" s="420"/>
      <c r="H45" s="388"/>
      <c r="I45" s="439"/>
      <c r="J45" s="388"/>
      <c r="K45" s="388"/>
      <c r="L45" s="474" t="s">
        <v>21</v>
      </c>
      <c r="M45" s="201" t="s">
        <v>84</v>
      </c>
      <c r="N45" s="114" t="s">
        <v>276</v>
      </c>
      <c r="O45" s="176">
        <v>6</v>
      </c>
      <c r="P45" s="176">
        <f t="shared" si="2"/>
        <v>6</v>
      </c>
      <c r="Q45" s="176">
        <f t="shared" si="3"/>
        <v>6</v>
      </c>
      <c r="R45" s="176">
        <f t="shared" si="4"/>
        <v>6</v>
      </c>
      <c r="S45" s="176" t="s">
        <v>528</v>
      </c>
      <c r="T45" s="167"/>
    </row>
    <row r="46" spans="1:20" ht="14.25" customHeight="1" x14ac:dyDescent="0.25">
      <c r="A46" s="432"/>
      <c r="B46" s="435"/>
      <c r="C46" s="422"/>
      <c r="D46" s="422"/>
      <c r="E46" s="422"/>
      <c r="F46" s="422"/>
      <c r="G46" s="420"/>
      <c r="H46" s="388"/>
      <c r="I46" s="439"/>
      <c r="J46" s="388"/>
      <c r="K46" s="388"/>
      <c r="L46" s="474" t="s">
        <v>23</v>
      </c>
      <c r="M46" s="64" t="s">
        <v>621</v>
      </c>
      <c r="N46" s="102" t="s">
        <v>580</v>
      </c>
      <c r="O46" s="164">
        <v>2</v>
      </c>
      <c r="P46" s="164">
        <f t="shared" si="2"/>
        <v>2</v>
      </c>
      <c r="Q46" s="164">
        <f t="shared" si="3"/>
        <v>2</v>
      </c>
      <c r="R46" s="164">
        <f t="shared" si="4"/>
        <v>2</v>
      </c>
      <c r="S46" s="164" t="s">
        <v>528</v>
      </c>
      <c r="T46" s="155"/>
    </row>
    <row r="47" spans="1:20" ht="14.25" customHeight="1" x14ac:dyDescent="0.25">
      <c r="A47" s="432"/>
      <c r="B47" s="435"/>
      <c r="C47" s="422"/>
      <c r="D47" s="422"/>
      <c r="E47" s="422"/>
      <c r="F47" s="422"/>
      <c r="G47" s="420"/>
      <c r="H47" s="388"/>
      <c r="I47" s="439"/>
      <c r="J47" s="388"/>
      <c r="K47" s="388"/>
      <c r="L47" s="180" t="s">
        <v>26</v>
      </c>
      <c r="M47" s="52" t="s">
        <v>622</v>
      </c>
      <c r="N47" s="44" t="s">
        <v>581</v>
      </c>
      <c r="O47" s="176">
        <v>2</v>
      </c>
      <c r="P47" s="176">
        <f t="shared" si="2"/>
        <v>2</v>
      </c>
      <c r="Q47" s="176">
        <f t="shared" si="3"/>
        <v>2</v>
      </c>
      <c r="R47" s="176">
        <f t="shared" si="4"/>
        <v>2</v>
      </c>
      <c r="S47" s="176" t="s">
        <v>528</v>
      </c>
      <c r="T47" s="131"/>
    </row>
    <row r="48" spans="1:20" ht="14.25" customHeight="1" x14ac:dyDescent="0.25">
      <c r="A48" s="432"/>
      <c r="B48" s="435"/>
      <c r="C48" s="422"/>
      <c r="D48" s="422"/>
      <c r="E48" s="422"/>
      <c r="F48" s="422"/>
      <c r="G48" s="420"/>
      <c r="H48" s="388"/>
      <c r="I48" s="439"/>
      <c r="J48" s="388"/>
      <c r="K48" s="388"/>
      <c r="L48" s="180" t="s">
        <v>29</v>
      </c>
      <c r="M48" s="52" t="s">
        <v>623</v>
      </c>
      <c r="N48" s="44" t="s">
        <v>583</v>
      </c>
      <c r="O48" s="176">
        <v>2</v>
      </c>
      <c r="P48" s="176">
        <f t="shared" si="2"/>
        <v>2</v>
      </c>
      <c r="Q48" s="176">
        <f t="shared" si="3"/>
        <v>2</v>
      </c>
      <c r="R48" s="176">
        <f t="shared" si="4"/>
        <v>2</v>
      </c>
      <c r="S48" s="176" t="s">
        <v>528</v>
      </c>
      <c r="T48" s="131"/>
    </row>
    <row r="49" spans="1:20" ht="14.25" customHeight="1" x14ac:dyDescent="0.25">
      <c r="A49" s="433"/>
      <c r="B49" s="436"/>
      <c r="C49" s="423"/>
      <c r="D49" s="423"/>
      <c r="E49" s="423"/>
      <c r="F49" s="423"/>
      <c r="G49" s="421"/>
      <c r="H49" s="389"/>
      <c r="I49" s="440"/>
      <c r="J49" s="389"/>
      <c r="K49" s="389"/>
      <c r="L49" s="180" t="s">
        <v>32</v>
      </c>
      <c r="M49" s="52" t="s">
        <v>624</v>
      </c>
      <c r="N49" s="44" t="s">
        <v>583</v>
      </c>
      <c r="O49" s="176">
        <v>2</v>
      </c>
      <c r="P49" s="176">
        <f t="shared" si="2"/>
        <v>2</v>
      </c>
      <c r="Q49" s="176">
        <f t="shared" si="3"/>
        <v>2</v>
      </c>
      <c r="R49" s="176">
        <f t="shared" si="4"/>
        <v>2</v>
      </c>
      <c r="S49" s="176" t="s">
        <v>528</v>
      </c>
      <c r="T49" s="131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I10" sqref="I10"/>
    </sheetView>
  </sheetViews>
  <sheetFormatPr defaultRowHeight="15" x14ac:dyDescent="0.25"/>
  <cols>
    <col min="1" max="2" width="5" customWidth="1"/>
    <col min="3" max="3" width="5.140625" customWidth="1"/>
    <col min="4" max="4" width="5.28515625" customWidth="1"/>
    <col min="5" max="5" width="5" customWidth="1"/>
    <col min="6" max="6" width="5.42578125" customWidth="1"/>
    <col min="7" max="7" width="5.140625" customWidth="1"/>
    <col min="8" max="8" width="5" customWidth="1"/>
    <col min="9" max="9" width="11.28515625" customWidth="1"/>
    <col min="10" max="10" width="5.140625" customWidth="1"/>
    <col min="11" max="11" width="5.5703125" customWidth="1"/>
    <col min="12" max="12" width="5" customWidth="1"/>
    <col min="13" max="13" width="18.5703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284" t="s">
        <v>0</v>
      </c>
      <c r="B6" s="285"/>
      <c r="C6" s="285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5">
      <c r="A7" s="20" t="s">
        <v>2</v>
      </c>
      <c r="B7" s="20" t="s">
        <v>502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0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0" t="s">
        <v>16</v>
      </c>
    </row>
    <row r="8" spans="1:20" ht="14.25" customHeight="1" x14ac:dyDescent="0.25">
      <c r="A8" s="442" t="s">
        <v>345</v>
      </c>
      <c r="B8" s="404">
        <f>'درام روتاری'!B8</f>
        <v>15</v>
      </c>
      <c r="C8" s="443">
        <v>2</v>
      </c>
      <c r="D8" s="442" t="s">
        <v>345</v>
      </c>
      <c r="E8" s="441" t="s">
        <v>188</v>
      </c>
      <c r="F8" s="424" t="s">
        <v>19</v>
      </c>
      <c r="G8" s="331">
        <f>F8*C8</f>
        <v>2</v>
      </c>
      <c r="H8" s="209" t="s">
        <v>44</v>
      </c>
      <c r="I8" s="210" t="s">
        <v>625</v>
      </c>
      <c r="J8" s="209" t="s">
        <v>44</v>
      </c>
      <c r="K8" s="209" t="s">
        <v>44</v>
      </c>
      <c r="L8" s="180" t="s">
        <v>19</v>
      </c>
      <c r="M8" s="210" t="s">
        <v>625</v>
      </c>
      <c r="N8" s="114" t="s">
        <v>626</v>
      </c>
      <c r="O8" s="127">
        <v>1</v>
      </c>
      <c r="P8" s="127">
        <f>O8*$F$8</f>
        <v>1</v>
      </c>
      <c r="Q8" s="127">
        <f>P8*$C$8</f>
        <v>2</v>
      </c>
      <c r="R8" s="211">
        <f>15.7*$Q$8</f>
        <v>31.4</v>
      </c>
      <c r="S8" s="166" t="s">
        <v>506</v>
      </c>
      <c r="T8" s="53"/>
    </row>
    <row r="9" spans="1:20" ht="14.25" customHeight="1" x14ac:dyDescent="0.25">
      <c r="A9" s="442"/>
      <c r="B9" s="405"/>
      <c r="C9" s="443"/>
      <c r="D9" s="442"/>
      <c r="E9" s="441"/>
      <c r="F9" s="424"/>
      <c r="G9" s="331"/>
      <c r="H9" s="49" t="s">
        <v>44</v>
      </c>
      <c r="I9" s="47" t="s">
        <v>627</v>
      </c>
      <c r="J9" s="209" t="s">
        <v>44</v>
      </c>
      <c r="K9" s="209" t="s">
        <v>44</v>
      </c>
      <c r="L9" s="474" t="s">
        <v>21</v>
      </c>
      <c r="M9" s="47" t="s">
        <v>627</v>
      </c>
      <c r="N9" s="114" t="s">
        <v>626</v>
      </c>
      <c r="O9" s="127">
        <v>1</v>
      </c>
      <c r="P9" s="127">
        <f t="shared" ref="P9:P24" si="0">O9*$F$8</f>
        <v>1</v>
      </c>
      <c r="Q9" s="127">
        <f t="shared" ref="Q9:R24" si="1">P9*$C$8</f>
        <v>2</v>
      </c>
      <c r="R9" s="211">
        <f t="shared" ref="R9:R11" si="2">15.7*$Q$8</f>
        <v>31.4</v>
      </c>
      <c r="S9" s="166" t="s">
        <v>506</v>
      </c>
      <c r="T9" s="53"/>
    </row>
    <row r="10" spans="1:20" ht="14.25" customHeight="1" x14ac:dyDescent="0.25">
      <c r="A10" s="442"/>
      <c r="B10" s="405"/>
      <c r="C10" s="443"/>
      <c r="D10" s="442"/>
      <c r="E10" s="441"/>
      <c r="F10" s="424"/>
      <c r="G10" s="331"/>
      <c r="H10" s="49" t="s">
        <v>44</v>
      </c>
      <c r="I10" s="47" t="s">
        <v>628</v>
      </c>
      <c r="J10" s="209" t="s">
        <v>44</v>
      </c>
      <c r="K10" s="209" t="s">
        <v>44</v>
      </c>
      <c r="L10" s="180" t="s">
        <v>23</v>
      </c>
      <c r="M10" s="47" t="s">
        <v>628</v>
      </c>
      <c r="N10" s="114" t="s">
        <v>626</v>
      </c>
      <c r="O10" s="127">
        <v>1</v>
      </c>
      <c r="P10" s="127">
        <f t="shared" si="0"/>
        <v>1</v>
      </c>
      <c r="Q10" s="127">
        <f t="shared" si="1"/>
        <v>2</v>
      </c>
      <c r="R10" s="211">
        <f t="shared" si="2"/>
        <v>31.4</v>
      </c>
      <c r="S10" s="166" t="s">
        <v>506</v>
      </c>
      <c r="T10" s="53"/>
    </row>
    <row r="11" spans="1:20" ht="14.25" customHeight="1" x14ac:dyDescent="0.25">
      <c r="A11" s="442"/>
      <c r="B11" s="405"/>
      <c r="C11" s="443"/>
      <c r="D11" s="442"/>
      <c r="E11" s="441"/>
      <c r="F11" s="424"/>
      <c r="G11" s="331"/>
      <c r="H11" s="49" t="s">
        <v>44</v>
      </c>
      <c r="I11" s="47" t="s">
        <v>629</v>
      </c>
      <c r="J11" s="209" t="s">
        <v>44</v>
      </c>
      <c r="K11" s="209" t="s">
        <v>44</v>
      </c>
      <c r="L11" s="180" t="s">
        <v>26</v>
      </c>
      <c r="M11" s="47" t="s">
        <v>629</v>
      </c>
      <c r="N11" s="114" t="s">
        <v>626</v>
      </c>
      <c r="O11" s="127">
        <v>1</v>
      </c>
      <c r="P11" s="127">
        <f t="shared" si="0"/>
        <v>1</v>
      </c>
      <c r="Q11" s="127">
        <f t="shared" si="1"/>
        <v>2</v>
      </c>
      <c r="R11" s="211">
        <f t="shared" si="2"/>
        <v>31.4</v>
      </c>
      <c r="S11" s="166" t="s">
        <v>506</v>
      </c>
      <c r="T11" s="53"/>
    </row>
    <row r="12" spans="1:20" ht="14.25" customHeight="1" x14ac:dyDescent="0.25">
      <c r="A12" s="442"/>
      <c r="B12" s="405"/>
      <c r="C12" s="443"/>
      <c r="D12" s="442"/>
      <c r="E12" s="441"/>
      <c r="F12" s="424"/>
      <c r="G12" s="331"/>
      <c r="H12" s="212" t="s">
        <v>44</v>
      </c>
      <c r="I12" s="47" t="s">
        <v>630</v>
      </c>
      <c r="J12" s="212" t="s">
        <v>44</v>
      </c>
      <c r="K12" s="209" t="s">
        <v>44</v>
      </c>
      <c r="L12" s="474" t="s">
        <v>29</v>
      </c>
      <c r="M12" s="47" t="s">
        <v>630</v>
      </c>
      <c r="N12" s="213" t="s">
        <v>631</v>
      </c>
      <c r="O12" s="127">
        <v>1</v>
      </c>
      <c r="P12" s="127">
        <f t="shared" si="0"/>
        <v>1</v>
      </c>
      <c r="Q12" s="127">
        <f t="shared" si="1"/>
        <v>2</v>
      </c>
      <c r="R12" s="211">
        <f>7.85*$Q$8</f>
        <v>15.7</v>
      </c>
      <c r="S12" s="166" t="s">
        <v>506</v>
      </c>
      <c r="T12" s="53"/>
    </row>
    <row r="13" spans="1:20" ht="14.25" customHeight="1" x14ac:dyDescent="0.25">
      <c r="A13" s="442"/>
      <c r="B13" s="405"/>
      <c r="C13" s="443"/>
      <c r="D13" s="442"/>
      <c r="E13" s="441"/>
      <c r="F13" s="424"/>
      <c r="G13" s="331"/>
      <c r="H13" s="212" t="s">
        <v>44</v>
      </c>
      <c r="I13" s="47" t="s">
        <v>632</v>
      </c>
      <c r="J13" s="212" t="s">
        <v>44</v>
      </c>
      <c r="K13" s="209" t="s">
        <v>44</v>
      </c>
      <c r="L13" s="474" t="s">
        <v>32</v>
      </c>
      <c r="M13" s="47" t="s">
        <v>632</v>
      </c>
      <c r="N13" s="213" t="s">
        <v>631</v>
      </c>
      <c r="O13" s="127">
        <v>1</v>
      </c>
      <c r="P13" s="127">
        <f t="shared" si="0"/>
        <v>1</v>
      </c>
      <c r="Q13" s="127">
        <f t="shared" si="1"/>
        <v>2</v>
      </c>
      <c r="R13" s="211">
        <f t="shared" ref="R13:R15" si="3">7.85*$Q$8</f>
        <v>15.7</v>
      </c>
      <c r="S13" s="166" t="s">
        <v>506</v>
      </c>
      <c r="T13" s="53"/>
    </row>
    <row r="14" spans="1:20" ht="14.25" customHeight="1" x14ac:dyDescent="0.25">
      <c r="A14" s="442"/>
      <c r="B14" s="405"/>
      <c r="C14" s="443"/>
      <c r="D14" s="442"/>
      <c r="E14" s="441"/>
      <c r="F14" s="424"/>
      <c r="G14" s="331"/>
      <c r="H14" s="212" t="s">
        <v>44</v>
      </c>
      <c r="I14" s="47" t="s">
        <v>633</v>
      </c>
      <c r="J14" s="212" t="s">
        <v>44</v>
      </c>
      <c r="K14" s="209" t="s">
        <v>44</v>
      </c>
      <c r="L14" s="474" t="s">
        <v>35</v>
      </c>
      <c r="M14" s="47" t="s">
        <v>633</v>
      </c>
      <c r="N14" s="213" t="s">
        <v>631</v>
      </c>
      <c r="O14" s="127">
        <v>1</v>
      </c>
      <c r="P14" s="127">
        <f t="shared" si="0"/>
        <v>1</v>
      </c>
      <c r="Q14" s="127">
        <f t="shared" si="1"/>
        <v>2</v>
      </c>
      <c r="R14" s="211">
        <f t="shared" si="3"/>
        <v>15.7</v>
      </c>
      <c r="S14" s="166" t="s">
        <v>506</v>
      </c>
      <c r="T14" s="53"/>
    </row>
    <row r="15" spans="1:20" ht="14.25" customHeight="1" x14ac:dyDescent="0.25">
      <c r="A15" s="442"/>
      <c r="B15" s="405"/>
      <c r="C15" s="443"/>
      <c r="D15" s="442"/>
      <c r="E15" s="441"/>
      <c r="F15" s="424"/>
      <c r="G15" s="331"/>
      <c r="H15" s="212" t="s">
        <v>44</v>
      </c>
      <c r="I15" s="47" t="s">
        <v>634</v>
      </c>
      <c r="J15" s="212" t="s">
        <v>44</v>
      </c>
      <c r="K15" s="209" t="s">
        <v>44</v>
      </c>
      <c r="L15" s="474" t="s">
        <v>37</v>
      </c>
      <c r="M15" s="47" t="s">
        <v>634</v>
      </c>
      <c r="N15" s="213" t="s">
        <v>631</v>
      </c>
      <c r="O15" s="127">
        <v>1</v>
      </c>
      <c r="P15" s="127">
        <f t="shared" si="0"/>
        <v>1</v>
      </c>
      <c r="Q15" s="127">
        <f t="shared" si="1"/>
        <v>2</v>
      </c>
      <c r="R15" s="211">
        <f t="shared" si="3"/>
        <v>15.7</v>
      </c>
      <c r="S15" s="166" t="s">
        <v>506</v>
      </c>
      <c r="T15" s="53"/>
    </row>
    <row r="16" spans="1:20" ht="14.25" customHeight="1" x14ac:dyDescent="0.25">
      <c r="A16" s="442"/>
      <c r="B16" s="405"/>
      <c r="C16" s="443"/>
      <c r="D16" s="442"/>
      <c r="E16" s="441"/>
      <c r="F16" s="424"/>
      <c r="G16" s="331"/>
      <c r="H16" s="209" t="s">
        <v>44</v>
      </c>
      <c r="I16" s="201" t="s">
        <v>635</v>
      </c>
      <c r="J16" s="209" t="s">
        <v>44</v>
      </c>
      <c r="K16" s="209" t="s">
        <v>44</v>
      </c>
      <c r="L16" s="180" t="s">
        <v>40</v>
      </c>
      <c r="M16" s="201" t="s">
        <v>635</v>
      </c>
      <c r="N16" s="114" t="s">
        <v>636</v>
      </c>
      <c r="O16" s="127" t="str">
        <f>IF(B8=30,"4",IF(B8=25,"0",IF(B8=20,"0",IF(B8=15,"0"))))</f>
        <v>0</v>
      </c>
      <c r="P16" s="127">
        <f t="shared" si="0"/>
        <v>0</v>
      </c>
      <c r="Q16" s="127">
        <f t="shared" si="1"/>
        <v>0</v>
      </c>
      <c r="R16" s="211">
        <f>Q16*4.38</f>
        <v>0</v>
      </c>
      <c r="S16" s="166" t="s">
        <v>506</v>
      </c>
      <c r="T16" s="53"/>
    </row>
    <row r="17" spans="1:28" ht="14.25" customHeight="1" x14ac:dyDescent="0.25">
      <c r="A17" s="442"/>
      <c r="B17" s="405"/>
      <c r="C17" s="443"/>
      <c r="D17" s="442"/>
      <c r="E17" s="441"/>
      <c r="F17" s="424"/>
      <c r="G17" s="331"/>
      <c r="H17" s="428" t="s">
        <v>260</v>
      </c>
      <c r="I17" s="428" t="s">
        <v>637</v>
      </c>
      <c r="J17" s="428" t="s">
        <v>21</v>
      </c>
      <c r="K17" s="430">
        <f>J17*G8</f>
        <v>4</v>
      </c>
      <c r="L17" s="474" t="s">
        <v>19</v>
      </c>
      <c r="M17" s="47" t="s">
        <v>638</v>
      </c>
      <c r="N17" s="114" t="s">
        <v>639</v>
      </c>
      <c r="O17" s="127">
        <v>2</v>
      </c>
      <c r="P17" s="127">
        <f t="shared" si="0"/>
        <v>2</v>
      </c>
      <c r="Q17" s="127">
        <f t="shared" si="1"/>
        <v>4</v>
      </c>
      <c r="R17" s="211">
        <f>Q17*0.1</f>
        <v>0.4</v>
      </c>
      <c r="S17" s="166" t="s">
        <v>506</v>
      </c>
      <c r="T17" s="53"/>
    </row>
    <row r="18" spans="1:28" ht="14.25" customHeight="1" x14ac:dyDescent="0.25">
      <c r="A18" s="442"/>
      <c r="B18" s="405"/>
      <c r="C18" s="443"/>
      <c r="D18" s="442"/>
      <c r="E18" s="441"/>
      <c r="F18" s="424"/>
      <c r="G18" s="331"/>
      <c r="H18" s="423"/>
      <c r="I18" s="423"/>
      <c r="J18" s="423"/>
      <c r="K18" s="421"/>
      <c r="L18" s="180" t="s">
        <v>21</v>
      </c>
      <c r="M18" s="47" t="s">
        <v>640</v>
      </c>
      <c r="N18" s="114" t="s">
        <v>641</v>
      </c>
      <c r="O18" s="127">
        <v>2</v>
      </c>
      <c r="P18" s="127">
        <f t="shared" si="0"/>
        <v>2</v>
      </c>
      <c r="Q18" s="127">
        <f t="shared" si="1"/>
        <v>4</v>
      </c>
      <c r="R18" s="211">
        <f>11.3*Q18</f>
        <v>45.2</v>
      </c>
      <c r="S18" s="166" t="s">
        <v>506</v>
      </c>
      <c r="T18" s="53"/>
    </row>
    <row r="19" spans="1:28" ht="14.25" customHeight="1" x14ac:dyDescent="0.25">
      <c r="A19" s="442"/>
      <c r="B19" s="405"/>
      <c r="C19" s="443"/>
      <c r="D19" s="442"/>
      <c r="E19" s="441"/>
      <c r="F19" s="424"/>
      <c r="G19" s="331"/>
      <c r="H19" s="428" t="s">
        <v>265</v>
      </c>
      <c r="I19" s="428" t="s">
        <v>642</v>
      </c>
      <c r="J19" s="428">
        <v>1</v>
      </c>
      <c r="K19" s="430">
        <f>J19*G8</f>
        <v>2</v>
      </c>
      <c r="L19" s="180" t="s">
        <v>19</v>
      </c>
      <c r="M19" s="47" t="s">
        <v>643</v>
      </c>
      <c r="N19" s="114" t="s">
        <v>312</v>
      </c>
      <c r="O19" s="127">
        <v>32</v>
      </c>
      <c r="P19" s="127">
        <f t="shared" si="0"/>
        <v>32</v>
      </c>
      <c r="Q19" s="127">
        <f t="shared" si="1"/>
        <v>64</v>
      </c>
      <c r="R19" s="127">
        <f t="shared" si="1"/>
        <v>128</v>
      </c>
      <c r="S19" s="166" t="s">
        <v>528</v>
      </c>
      <c r="T19" s="53"/>
    </row>
    <row r="20" spans="1:28" ht="14.25" customHeight="1" x14ac:dyDescent="0.25">
      <c r="A20" s="442"/>
      <c r="B20" s="405"/>
      <c r="C20" s="443"/>
      <c r="D20" s="442"/>
      <c r="E20" s="441"/>
      <c r="F20" s="424"/>
      <c r="G20" s="331"/>
      <c r="H20" s="422"/>
      <c r="I20" s="422"/>
      <c r="J20" s="422"/>
      <c r="K20" s="420"/>
      <c r="L20" s="474" t="s">
        <v>21</v>
      </c>
      <c r="M20" s="47" t="s">
        <v>644</v>
      </c>
      <c r="N20" s="114" t="s">
        <v>556</v>
      </c>
      <c r="O20" s="127">
        <v>32</v>
      </c>
      <c r="P20" s="127">
        <f t="shared" si="0"/>
        <v>32</v>
      </c>
      <c r="Q20" s="127">
        <f t="shared" si="1"/>
        <v>64</v>
      </c>
      <c r="R20" s="127">
        <f t="shared" si="1"/>
        <v>128</v>
      </c>
      <c r="S20" s="166" t="s">
        <v>528</v>
      </c>
      <c r="T20" s="53"/>
    </row>
    <row r="21" spans="1:28" ht="14.25" customHeight="1" x14ac:dyDescent="0.25">
      <c r="A21" s="442"/>
      <c r="B21" s="405"/>
      <c r="C21" s="443"/>
      <c r="D21" s="442"/>
      <c r="E21" s="441"/>
      <c r="F21" s="424"/>
      <c r="G21" s="331"/>
      <c r="H21" s="422"/>
      <c r="I21" s="422"/>
      <c r="J21" s="422"/>
      <c r="K21" s="420"/>
      <c r="L21" s="180" t="s">
        <v>23</v>
      </c>
      <c r="M21" s="47" t="s">
        <v>645</v>
      </c>
      <c r="N21" s="214" t="s">
        <v>312</v>
      </c>
      <c r="O21" s="153">
        <v>2</v>
      </c>
      <c r="P21" s="127">
        <f t="shared" si="0"/>
        <v>2</v>
      </c>
      <c r="Q21" s="127">
        <f t="shared" si="1"/>
        <v>4</v>
      </c>
      <c r="R21" s="127">
        <f t="shared" si="1"/>
        <v>8</v>
      </c>
      <c r="S21" s="173" t="s">
        <v>528</v>
      </c>
      <c r="T21" s="53"/>
      <c r="U21" s="56"/>
      <c r="V21" s="57"/>
      <c r="W21" s="215"/>
      <c r="X21" s="57"/>
      <c r="Y21" s="57"/>
      <c r="Z21" s="57"/>
      <c r="AA21" s="57"/>
      <c r="AB21" s="57"/>
    </row>
    <row r="22" spans="1:28" ht="14.25" customHeight="1" x14ac:dyDescent="0.25">
      <c r="A22" s="442"/>
      <c r="B22" s="405"/>
      <c r="C22" s="443"/>
      <c r="D22" s="442"/>
      <c r="E22" s="441"/>
      <c r="F22" s="424"/>
      <c r="G22" s="331"/>
      <c r="H22" s="422"/>
      <c r="I22" s="422"/>
      <c r="J22" s="422"/>
      <c r="K22" s="420"/>
      <c r="L22" s="180" t="s">
        <v>26</v>
      </c>
      <c r="M22" s="47" t="s">
        <v>646</v>
      </c>
      <c r="N22" s="114" t="s">
        <v>556</v>
      </c>
      <c r="O22" s="127">
        <v>2</v>
      </c>
      <c r="P22" s="127">
        <f t="shared" si="0"/>
        <v>2</v>
      </c>
      <c r="Q22" s="127">
        <f t="shared" si="1"/>
        <v>4</v>
      </c>
      <c r="R22" s="127">
        <f t="shared" si="1"/>
        <v>8</v>
      </c>
      <c r="S22" s="166" t="s">
        <v>528</v>
      </c>
      <c r="T22" s="53"/>
      <c r="U22" s="56"/>
      <c r="V22" s="215"/>
      <c r="W22" s="215"/>
      <c r="X22" s="57"/>
      <c r="Y22" s="57"/>
      <c r="Z22" s="57"/>
      <c r="AA22" s="57"/>
      <c r="AB22" s="57"/>
    </row>
    <row r="23" spans="1:28" ht="14.25" customHeight="1" x14ac:dyDescent="0.25">
      <c r="A23" s="442"/>
      <c r="B23" s="405"/>
      <c r="C23" s="443"/>
      <c r="D23" s="442"/>
      <c r="E23" s="441"/>
      <c r="F23" s="424"/>
      <c r="G23" s="331"/>
      <c r="H23" s="422"/>
      <c r="I23" s="422"/>
      <c r="J23" s="422"/>
      <c r="K23" s="420"/>
      <c r="L23" s="180" t="s">
        <v>29</v>
      </c>
      <c r="M23" s="201" t="s">
        <v>647</v>
      </c>
      <c r="N23" s="114" t="s">
        <v>565</v>
      </c>
      <c r="O23" s="127">
        <v>40</v>
      </c>
      <c r="P23" s="127">
        <f t="shared" si="0"/>
        <v>40</v>
      </c>
      <c r="Q23" s="127">
        <f t="shared" si="1"/>
        <v>80</v>
      </c>
      <c r="R23" s="127">
        <f t="shared" si="1"/>
        <v>160</v>
      </c>
      <c r="S23" s="166" t="s">
        <v>528</v>
      </c>
      <c r="T23" s="53"/>
    </row>
    <row r="24" spans="1:28" ht="14.25" customHeight="1" x14ac:dyDescent="0.25">
      <c r="A24" s="442"/>
      <c r="B24" s="406"/>
      <c r="C24" s="443"/>
      <c r="D24" s="442"/>
      <c r="E24" s="441"/>
      <c r="F24" s="424"/>
      <c r="G24" s="331"/>
      <c r="H24" s="423"/>
      <c r="I24" s="423"/>
      <c r="J24" s="423"/>
      <c r="K24" s="421"/>
      <c r="L24" s="474" t="s">
        <v>32</v>
      </c>
      <c r="M24" s="201" t="s">
        <v>648</v>
      </c>
      <c r="N24" s="114" t="s">
        <v>649</v>
      </c>
      <c r="O24" s="127">
        <v>40</v>
      </c>
      <c r="P24" s="127">
        <f t="shared" si="0"/>
        <v>40</v>
      </c>
      <c r="Q24" s="127">
        <f t="shared" si="1"/>
        <v>80</v>
      </c>
      <c r="R24" s="127">
        <f t="shared" si="1"/>
        <v>160</v>
      </c>
      <c r="S24" s="166" t="s">
        <v>528</v>
      </c>
      <c r="T24" s="53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tabSelected="1" view="pageLayout" zoomScaleNormal="100" workbookViewId="0">
      <selection activeCell="K14" sqref="K14"/>
    </sheetView>
  </sheetViews>
  <sheetFormatPr defaultRowHeight="15" x14ac:dyDescent="0.25"/>
  <cols>
    <col min="1" max="1" width="5.42578125" customWidth="1"/>
    <col min="2" max="2" width="5.28515625" customWidth="1"/>
    <col min="3" max="4" width="5.140625" customWidth="1"/>
    <col min="5" max="5" width="5" customWidth="1"/>
    <col min="6" max="6" width="5.42578125" customWidth="1"/>
    <col min="7" max="8" width="5.140625" customWidth="1"/>
    <col min="9" max="9" width="12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28515625" customWidth="1"/>
    <col min="16" max="16" width="5.42578125" customWidth="1"/>
    <col min="17" max="17" width="5.140625" customWidth="1"/>
    <col min="18" max="18" width="4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284" t="s">
        <v>0</v>
      </c>
      <c r="B6" s="285"/>
      <c r="C6" s="285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6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5">
      <c r="A7" s="20" t="s">
        <v>2</v>
      </c>
      <c r="B7" s="20" t="s">
        <v>502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3.5" customHeight="1" x14ac:dyDescent="0.25">
      <c r="A8" s="316" t="s">
        <v>345</v>
      </c>
      <c r="B8" s="331">
        <f>'درام روتاری'!B8</f>
        <v>15</v>
      </c>
      <c r="C8" s="331">
        <v>1</v>
      </c>
      <c r="D8" s="316" t="s">
        <v>259</v>
      </c>
      <c r="E8" s="332" t="s">
        <v>650</v>
      </c>
      <c r="F8" s="424" t="s">
        <v>19</v>
      </c>
      <c r="G8" s="331">
        <v>1</v>
      </c>
      <c r="H8" s="444" t="s">
        <v>260</v>
      </c>
      <c r="I8" s="447" t="s">
        <v>651</v>
      </c>
      <c r="J8" s="387">
        <v>1</v>
      </c>
      <c r="K8" s="362">
        <f>J8*G8</f>
        <v>1</v>
      </c>
      <c r="L8" s="180" t="s">
        <v>19</v>
      </c>
      <c r="M8" s="8" t="s">
        <v>651</v>
      </c>
      <c r="N8" s="77" t="s">
        <v>652</v>
      </c>
      <c r="O8" s="77">
        <v>1</v>
      </c>
      <c r="P8" s="176">
        <f>O8*$F$8</f>
        <v>1</v>
      </c>
      <c r="Q8" s="176">
        <f>P8*$C$8</f>
        <v>1</v>
      </c>
      <c r="R8" s="216">
        <f>Q8*0.51</f>
        <v>0.51</v>
      </c>
      <c r="S8" s="45" t="s">
        <v>506</v>
      </c>
      <c r="T8" s="54"/>
    </row>
    <row r="9" spans="1:20" ht="13.5" customHeight="1" x14ac:dyDescent="0.25">
      <c r="A9" s="316"/>
      <c r="B9" s="331"/>
      <c r="C9" s="331"/>
      <c r="D9" s="316"/>
      <c r="E9" s="332"/>
      <c r="F9" s="424"/>
      <c r="G9" s="331"/>
      <c r="H9" s="445"/>
      <c r="I9" s="439"/>
      <c r="J9" s="388"/>
      <c r="K9" s="363"/>
      <c r="L9" s="180" t="s">
        <v>21</v>
      </c>
      <c r="M9" s="217" t="s">
        <v>653</v>
      </c>
      <c r="N9" s="86" t="s">
        <v>654</v>
      </c>
      <c r="O9" s="86">
        <v>2</v>
      </c>
      <c r="P9" s="176">
        <f t="shared" ref="P9:P26" si="0">O9*$F$8</f>
        <v>2</v>
      </c>
      <c r="Q9" s="176">
        <f t="shared" ref="Q9:R25" si="1">P9*$C$8</f>
        <v>2</v>
      </c>
      <c r="R9" s="176">
        <f t="shared" si="1"/>
        <v>2</v>
      </c>
      <c r="S9" s="45" t="s">
        <v>528</v>
      </c>
      <c r="T9" s="54"/>
    </row>
    <row r="10" spans="1:20" ht="13.5" customHeight="1" x14ac:dyDescent="0.25">
      <c r="A10" s="316"/>
      <c r="B10" s="331"/>
      <c r="C10" s="331"/>
      <c r="D10" s="316"/>
      <c r="E10" s="332"/>
      <c r="F10" s="424"/>
      <c r="G10" s="331"/>
      <c r="H10" s="445"/>
      <c r="I10" s="439"/>
      <c r="J10" s="388"/>
      <c r="K10" s="363"/>
      <c r="L10" s="180" t="s">
        <v>23</v>
      </c>
      <c r="M10" s="217" t="s">
        <v>655</v>
      </c>
      <c r="N10" s="86" t="s">
        <v>656</v>
      </c>
      <c r="O10" s="86">
        <v>1</v>
      </c>
      <c r="P10" s="176">
        <f t="shared" si="0"/>
        <v>1</v>
      </c>
      <c r="Q10" s="176">
        <f t="shared" si="1"/>
        <v>1</v>
      </c>
      <c r="R10" s="176">
        <f t="shared" si="1"/>
        <v>1</v>
      </c>
      <c r="S10" s="45" t="s">
        <v>528</v>
      </c>
      <c r="T10" s="54"/>
    </row>
    <row r="11" spans="1:20" ht="13.5" customHeight="1" x14ac:dyDescent="0.25">
      <c r="A11" s="316"/>
      <c r="B11" s="331"/>
      <c r="C11" s="331"/>
      <c r="D11" s="316"/>
      <c r="E11" s="332"/>
      <c r="F11" s="424"/>
      <c r="G11" s="331"/>
      <c r="H11" s="445"/>
      <c r="I11" s="439"/>
      <c r="J11" s="388"/>
      <c r="K11" s="363"/>
      <c r="L11" s="180" t="s">
        <v>26</v>
      </c>
      <c r="M11" s="217" t="s">
        <v>657</v>
      </c>
      <c r="N11" s="86" t="s">
        <v>561</v>
      </c>
      <c r="O11" s="86">
        <v>1</v>
      </c>
      <c r="P11" s="176">
        <f t="shared" si="0"/>
        <v>1</v>
      </c>
      <c r="Q11" s="176">
        <f t="shared" si="1"/>
        <v>1</v>
      </c>
      <c r="R11" s="176">
        <f t="shared" si="1"/>
        <v>1</v>
      </c>
      <c r="S11" s="45" t="s">
        <v>528</v>
      </c>
      <c r="T11" s="54"/>
    </row>
    <row r="12" spans="1:20" ht="13.5" customHeight="1" thickBot="1" x14ac:dyDescent="0.3">
      <c r="A12" s="316"/>
      <c r="B12" s="331"/>
      <c r="C12" s="331"/>
      <c r="D12" s="316"/>
      <c r="E12" s="332"/>
      <c r="F12" s="424"/>
      <c r="G12" s="331"/>
      <c r="H12" s="446"/>
      <c r="I12" s="448"/>
      <c r="J12" s="410"/>
      <c r="K12" s="403"/>
      <c r="L12" s="471" t="s">
        <v>29</v>
      </c>
      <c r="M12" s="218" t="s">
        <v>658</v>
      </c>
      <c r="N12" s="219" t="s">
        <v>334</v>
      </c>
      <c r="O12" s="219">
        <v>2</v>
      </c>
      <c r="P12" s="150">
        <f t="shared" si="0"/>
        <v>2</v>
      </c>
      <c r="Q12" s="150">
        <f t="shared" si="1"/>
        <v>2</v>
      </c>
      <c r="R12" s="150">
        <f t="shared" si="1"/>
        <v>2</v>
      </c>
      <c r="S12" s="92" t="s">
        <v>528</v>
      </c>
      <c r="T12" s="94"/>
    </row>
    <row r="13" spans="1:20" ht="13.5" customHeight="1" x14ac:dyDescent="0.25">
      <c r="A13" s="316"/>
      <c r="B13" s="331"/>
      <c r="C13" s="331"/>
      <c r="D13" s="316"/>
      <c r="E13" s="332"/>
      <c r="F13" s="424"/>
      <c r="G13" s="331"/>
      <c r="H13" s="220" t="s">
        <v>44</v>
      </c>
      <c r="I13" s="221" t="s">
        <v>659</v>
      </c>
      <c r="J13" s="115" t="s">
        <v>44</v>
      </c>
      <c r="K13" s="104" t="s">
        <v>44</v>
      </c>
      <c r="L13" s="470" t="s">
        <v>19</v>
      </c>
      <c r="M13" s="221" t="s">
        <v>659</v>
      </c>
      <c r="N13" s="221" t="s">
        <v>660</v>
      </c>
      <c r="O13" s="222">
        <v>1</v>
      </c>
      <c r="P13" s="223">
        <f t="shared" si="0"/>
        <v>1</v>
      </c>
      <c r="Q13" s="223">
        <f t="shared" si="1"/>
        <v>1</v>
      </c>
      <c r="R13" s="224">
        <f>1.5*Q13</f>
        <v>1.5</v>
      </c>
      <c r="S13" s="481" t="s">
        <v>506</v>
      </c>
      <c r="T13" s="103"/>
    </row>
    <row r="14" spans="1:20" ht="13.5" customHeight="1" x14ac:dyDescent="0.25">
      <c r="A14" s="316"/>
      <c r="B14" s="331"/>
      <c r="C14" s="331"/>
      <c r="D14" s="316"/>
      <c r="E14" s="332"/>
      <c r="F14" s="424"/>
      <c r="G14" s="331"/>
      <c r="H14" s="225" t="s">
        <v>44</v>
      </c>
      <c r="I14" s="8" t="s">
        <v>661</v>
      </c>
      <c r="J14" s="49" t="s">
        <v>44</v>
      </c>
      <c r="K14" s="42" t="s">
        <v>44</v>
      </c>
      <c r="L14" s="180" t="s">
        <v>21</v>
      </c>
      <c r="M14" s="8" t="s">
        <v>661</v>
      </c>
      <c r="N14" s="77" t="s">
        <v>662</v>
      </c>
      <c r="O14" s="77">
        <v>1</v>
      </c>
      <c r="P14" s="176">
        <f t="shared" si="0"/>
        <v>1</v>
      </c>
      <c r="Q14" s="176">
        <f t="shared" si="1"/>
        <v>1</v>
      </c>
      <c r="R14" s="216">
        <f>1.2*Q14</f>
        <v>1.2</v>
      </c>
      <c r="S14" s="45" t="s">
        <v>506</v>
      </c>
      <c r="T14" s="54"/>
    </row>
    <row r="15" spans="1:20" ht="13.5" customHeight="1" x14ac:dyDescent="0.25">
      <c r="A15" s="316"/>
      <c r="B15" s="331"/>
      <c r="C15" s="331"/>
      <c r="D15" s="316"/>
      <c r="E15" s="332"/>
      <c r="F15" s="424"/>
      <c r="G15" s="331"/>
      <c r="H15" s="225" t="s">
        <v>44</v>
      </c>
      <c r="I15" s="52" t="s">
        <v>663</v>
      </c>
      <c r="J15" s="49" t="s">
        <v>44</v>
      </c>
      <c r="K15" s="42" t="s">
        <v>44</v>
      </c>
      <c r="L15" s="180" t="s">
        <v>23</v>
      </c>
      <c r="M15" s="52" t="s">
        <v>663</v>
      </c>
      <c r="N15" s="44" t="s">
        <v>664</v>
      </c>
      <c r="O15" s="45">
        <v>1</v>
      </c>
      <c r="P15" s="176">
        <f t="shared" si="0"/>
        <v>1</v>
      </c>
      <c r="Q15" s="176">
        <f t="shared" si="1"/>
        <v>1</v>
      </c>
      <c r="R15" s="176">
        <f t="shared" si="1"/>
        <v>1</v>
      </c>
      <c r="S15" s="45" t="s">
        <v>528</v>
      </c>
      <c r="T15" s="54"/>
    </row>
    <row r="16" spans="1:20" ht="13.5" customHeight="1" thickBot="1" x14ac:dyDescent="0.3">
      <c r="A16" s="316"/>
      <c r="B16" s="331"/>
      <c r="C16" s="331"/>
      <c r="D16" s="316"/>
      <c r="E16" s="332"/>
      <c r="F16" s="424"/>
      <c r="G16" s="331"/>
      <c r="H16" s="226" t="s">
        <v>44</v>
      </c>
      <c r="I16" s="227" t="s">
        <v>665</v>
      </c>
      <c r="J16" s="112" t="s">
        <v>44</v>
      </c>
      <c r="K16" s="113" t="s">
        <v>44</v>
      </c>
      <c r="L16" s="471" t="s">
        <v>26</v>
      </c>
      <c r="M16" s="62" t="s">
        <v>665</v>
      </c>
      <c r="N16" s="228" t="s">
        <v>44</v>
      </c>
      <c r="O16" s="92">
        <v>1</v>
      </c>
      <c r="P16" s="150">
        <f t="shared" si="0"/>
        <v>1</v>
      </c>
      <c r="Q16" s="150">
        <f t="shared" si="1"/>
        <v>1</v>
      </c>
      <c r="R16" s="150">
        <f t="shared" si="1"/>
        <v>1</v>
      </c>
      <c r="S16" s="92" t="s">
        <v>528</v>
      </c>
      <c r="T16" s="94"/>
    </row>
    <row r="17" spans="1:20" ht="13.5" customHeight="1" x14ac:dyDescent="0.25">
      <c r="A17" s="316"/>
      <c r="B17" s="331"/>
      <c r="C17" s="331"/>
      <c r="D17" s="316"/>
      <c r="E17" s="332"/>
      <c r="F17" s="424"/>
      <c r="G17" s="331"/>
      <c r="H17" s="316" t="s">
        <v>265</v>
      </c>
      <c r="I17" s="308" t="s">
        <v>310</v>
      </c>
      <c r="J17" s="316" t="s">
        <v>19</v>
      </c>
      <c r="K17" s="331">
        <v>1</v>
      </c>
      <c r="L17" s="474" t="s">
        <v>19</v>
      </c>
      <c r="M17" s="210" t="s">
        <v>666</v>
      </c>
      <c r="N17" s="229" t="s">
        <v>667</v>
      </c>
      <c r="O17" s="86">
        <v>1</v>
      </c>
      <c r="P17" s="164">
        <f t="shared" si="0"/>
        <v>1</v>
      </c>
      <c r="Q17" s="164">
        <f t="shared" si="1"/>
        <v>1</v>
      </c>
      <c r="R17" s="164">
        <f t="shared" si="1"/>
        <v>1</v>
      </c>
      <c r="S17" s="70" t="s">
        <v>528</v>
      </c>
      <c r="T17" s="103"/>
    </row>
    <row r="18" spans="1:20" ht="13.5" customHeight="1" x14ac:dyDescent="0.25">
      <c r="A18" s="316"/>
      <c r="B18" s="331"/>
      <c r="C18" s="331"/>
      <c r="D18" s="316"/>
      <c r="E18" s="332"/>
      <c r="F18" s="424"/>
      <c r="G18" s="331"/>
      <c r="H18" s="316"/>
      <c r="I18" s="308"/>
      <c r="J18" s="316"/>
      <c r="K18" s="331"/>
      <c r="L18" s="180" t="s">
        <v>21</v>
      </c>
      <c r="M18" s="47" t="s">
        <v>668</v>
      </c>
      <c r="N18" s="201" t="s">
        <v>667</v>
      </c>
      <c r="O18" s="86">
        <v>2</v>
      </c>
      <c r="P18" s="176">
        <f t="shared" si="0"/>
        <v>2</v>
      </c>
      <c r="Q18" s="176">
        <f t="shared" si="1"/>
        <v>2</v>
      </c>
      <c r="R18" s="176">
        <f t="shared" si="1"/>
        <v>2</v>
      </c>
      <c r="S18" s="45" t="s">
        <v>528</v>
      </c>
      <c r="T18" s="54"/>
    </row>
    <row r="19" spans="1:20" ht="13.5" customHeight="1" x14ac:dyDescent="0.25">
      <c r="A19" s="316"/>
      <c r="B19" s="331"/>
      <c r="C19" s="331"/>
      <c r="D19" s="316"/>
      <c r="E19" s="332"/>
      <c r="F19" s="424"/>
      <c r="G19" s="331"/>
      <c r="H19" s="316"/>
      <c r="I19" s="308"/>
      <c r="J19" s="316"/>
      <c r="K19" s="331"/>
      <c r="L19" s="180" t="s">
        <v>23</v>
      </c>
      <c r="M19" s="47" t="s">
        <v>669</v>
      </c>
      <c r="N19" s="201" t="s">
        <v>667</v>
      </c>
      <c r="O19" s="86">
        <v>1</v>
      </c>
      <c r="P19" s="176">
        <f t="shared" si="0"/>
        <v>1</v>
      </c>
      <c r="Q19" s="176">
        <f t="shared" si="1"/>
        <v>1</v>
      </c>
      <c r="R19" s="176">
        <f t="shared" si="1"/>
        <v>1</v>
      </c>
      <c r="S19" s="45" t="s">
        <v>528</v>
      </c>
      <c r="T19" s="54"/>
    </row>
    <row r="20" spans="1:20" ht="13.5" customHeight="1" x14ac:dyDescent="0.25">
      <c r="A20" s="316"/>
      <c r="B20" s="331"/>
      <c r="C20" s="331"/>
      <c r="D20" s="316"/>
      <c r="E20" s="332"/>
      <c r="F20" s="424"/>
      <c r="G20" s="331"/>
      <c r="H20" s="316"/>
      <c r="I20" s="308"/>
      <c r="J20" s="316"/>
      <c r="K20" s="331"/>
      <c r="L20" s="180" t="s">
        <v>26</v>
      </c>
      <c r="M20" s="47" t="s">
        <v>670</v>
      </c>
      <c r="N20" s="201" t="s">
        <v>667</v>
      </c>
      <c r="O20" s="86">
        <v>1</v>
      </c>
      <c r="P20" s="176">
        <f t="shared" si="0"/>
        <v>1</v>
      </c>
      <c r="Q20" s="176">
        <f t="shared" si="1"/>
        <v>1</v>
      </c>
      <c r="R20" s="176">
        <f t="shared" si="1"/>
        <v>1</v>
      </c>
      <c r="S20" s="45" t="s">
        <v>528</v>
      </c>
      <c r="T20" s="54"/>
    </row>
    <row r="21" spans="1:20" ht="13.5" customHeight="1" x14ac:dyDescent="0.25">
      <c r="A21" s="316"/>
      <c r="B21" s="331"/>
      <c r="C21" s="331"/>
      <c r="D21" s="316"/>
      <c r="E21" s="332"/>
      <c r="F21" s="424"/>
      <c r="G21" s="331"/>
      <c r="H21" s="316"/>
      <c r="I21" s="308"/>
      <c r="J21" s="316"/>
      <c r="K21" s="331"/>
      <c r="L21" s="180" t="s">
        <v>29</v>
      </c>
      <c r="M21" s="47" t="s">
        <v>671</v>
      </c>
      <c r="N21" s="114" t="s">
        <v>312</v>
      </c>
      <c r="O21" s="77">
        <v>2</v>
      </c>
      <c r="P21" s="176">
        <f t="shared" si="0"/>
        <v>2</v>
      </c>
      <c r="Q21" s="176">
        <f t="shared" si="1"/>
        <v>2</v>
      </c>
      <c r="R21" s="176">
        <f t="shared" si="1"/>
        <v>2</v>
      </c>
      <c r="S21" s="45" t="s">
        <v>528</v>
      </c>
      <c r="T21" s="54"/>
    </row>
    <row r="22" spans="1:20" ht="13.5" customHeight="1" x14ac:dyDescent="0.25">
      <c r="A22" s="316"/>
      <c r="B22" s="331"/>
      <c r="C22" s="331"/>
      <c r="D22" s="316"/>
      <c r="E22" s="332"/>
      <c r="F22" s="424"/>
      <c r="G22" s="331"/>
      <c r="H22" s="316"/>
      <c r="I22" s="308"/>
      <c r="J22" s="316"/>
      <c r="K22" s="331"/>
      <c r="L22" s="470" t="s">
        <v>32</v>
      </c>
      <c r="M22" s="210" t="s">
        <v>672</v>
      </c>
      <c r="N22" s="214" t="s">
        <v>556</v>
      </c>
      <c r="O22" s="222">
        <v>1</v>
      </c>
      <c r="P22" s="223">
        <f t="shared" si="0"/>
        <v>1</v>
      </c>
      <c r="Q22" s="223">
        <f t="shared" si="1"/>
        <v>1</v>
      </c>
      <c r="R22" s="223">
        <f t="shared" si="1"/>
        <v>1</v>
      </c>
      <c r="S22" s="481" t="s">
        <v>528</v>
      </c>
      <c r="T22" s="54"/>
    </row>
    <row r="23" spans="1:20" ht="13.5" customHeight="1" x14ac:dyDescent="0.25">
      <c r="A23" s="316"/>
      <c r="B23" s="331"/>
      <c r="C23" s="331"/>
      <c r="D23" s="316"/>
      <c r="E23" s="332"/>
      <c r="F23" s="424"/>
      <c r="G23" s="331"/>
      <c r="H23" s="316"/>
      <c r="I23" s="308"/>
      <c r="J23" s="316"/>
      <c r="K23" s="331"/>
      <c r="L23" s="180" t="s">
        <v>35</v>
      </c>
      <c r="M23" s="47" t="s">
        <v>673</v>
      </c>
      <c r="N23" s="114" t="s">
        <v>434</v>
      </c>
      <c r="O23" s="77">
        <v>1</v>
      </c>
      <c r="P23" s="176">
        <f t="shared" si="0"/>
        <v>1</v>
      </c>
      <c r="Q23" s="176">
        <f t="shared" si="1"/>
        <v>1</v>
      </c>
      <c r="R23" s="176">
        <f t="shared" si="1"/>
        <v>1</v>
      </c>
      <c r="S23" s="45" t="s">
        <v>528</v>
      </c>
      <c r="T23" s="54"/>
    </row>
    <row r="24" spans="1:20" ht="13.5" customHeight="1" x14ac:dyDescent="0.25">
      <c r="A24" s="316"/>
      <c r="B24" s="331"/>
      <c r="C24" s="331"/>
      <c r="D24" s="316"/>
      <c r="E24" s="332"/>
      <c r="F24" s="424"/>
      <c r="G24" s="331"/>
      <c r="H24" s="316"/>
      <c r="I24" s="308"/>
      <c r="J24" s="316"/>
      <c r="K24" s="331"/>
      <c r="L24" s="180" t="s">
        <v>37</v>
      </c>
      <c r="M24" s="47" t="s">
        <v>674</v>
      </c>
      <c r="N24" s="114" t="s">
        <v>434</v>
      </c>
      <c r="O24" s="45">
        <v>1</v>
      </c>
      <c r="P24" s="176">
        <f t="shared" si="0"/>
        <v>1</v>
      </c>
      <c r="Q24" s="176">
        <f t="shared" si="1"/>
        <v>1</v>
      </c>
      <c r="R24" s="176">
        <f t="shared" si="1"/>
        <v>1</v>
      </c>
      <c r="S24" s="45" t="s">
        <v>528</v>
      </c>
      <c r="T24" s="54"/>
    </row>
    <row r="25" spans="1:20" ht="13.5" customHeight="1" x14ac:dyDescent="0.25">
      <c r="A25" s="316"/>
      <c r="B25" s="331"/>
      <c r="C25" s="331"/>
      <c r="D25" s="316"/>
      <c r="E25" s="332"/>
      <c r="F25" s="424"/>
      <c r="G25" s="331"/>
      <c r="H25" s="316"/>
      <c r="I25" s="308"/>
      <c r="J25" s="316"/>
      <c r="K25" s="331"/>
      <c r="L25" s="180" t="s">
        <v>40</v>
      </c>
      <c r="M25" s="201" t="s">
        <v>675</v>
      </c>
      <c r="N25" s="201" t="s">
        <v>667</v>
      </c>
      <c r="O25" s="45">
        <v>1</v>
      </c>
      <c r="P25" s="176">
        <f t="shared" si="0"/>
        <v>1</v>
      </c>
      <c r="Q25" s="176">
        <f t="shared" si="1"/>
        <v>1</v>
      </c>
      <c r="R25" s="176">
        <f t="shared" si="1"/>
        <v>1</v>
      </c>
      <c r="S25" s="45" t="s">
        <v>528</v>
      </c>
      <c r="T25" s="54"/>
    </row>
    <row r="26" spans="1:20" ht="13.5" customHeight="1" x14ac:dyDescent="0.25">
      <c r="A26" s="316"/>
      <c r="B26" s="331"/>
      <c r="C26" s="331"/>
      <c r="D26" s="316"/>
      <c r="E26" s="332"/>
      <c r="F26" s="424"/>
      <c r="G26" s="331"/>
      <c r="H26" s="316"/>
      <c r="I26" s="308"/>
      <c r="J26" s="316"/>
      <c r="K26" s="331"/>
      <c r="L26" s="180" t="s">
        <v>51</v>
      </c>
      <c r="M26" s="201" t="s">
        <v>366</v>
      </c>
      <c r="N26" s="77" t="s">
        <v>676</v>
      </c>
      <c r="O26" s="45">
        <v>2</v>
      </c>
      <c r="P26" s="176">
        <f t="shared" si="0"/>
        <v>2</v>
      </c>
      <c r="Q26" s="176">
        <f t="shared" ref="Q26:R26" si="2">P26*$C$8</f>
        <v>2</v>
      </c>
      <c r="R26" s="176">
        <f t="shared" si="2"/>
        <v>2</v>
      </c>
      <c r="S26" s="45" t="s">
        <v>528</v>
      </c>
      <c r="T26" s="54"/>
    </row>
  </sheetData>
  <mergeCells count="16">
    <mergeCell ref="F8:F26"/>
    <mergeCell ref="G8:G26"/>
    <mergeCell ref="H8:H12"/>
    <mergeCell ref="I8:I12"/>
    <mergeCell ref="J8:J12"/>
    <mergeCell ref="K8:K12"/>
    <mergeCell ref="H17:H26"/>
    <mergeCell ref="I17:I26"/>
    <mergeCell ref="J17:J26"/>
    <mergeCell ref="K17:K26"/>
    <mergeCell ref="E8:E26"/>
    <mergeCell ref="A6:C6"/>
    <mergeCell ref="A8:A26"/>
    <mergeCell ref="B8:B26"/>
    <mergeCell ref="C8:C26"/>
    <mergeCell ref="D8:D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S10"/>
  <sheetViews>
    <sheetView view="pageLayout" zoomScale="115" zoomScaleNormal="100" zoomScalePageLayoutView="115" workbookViewId="0">
      <selection activeCell="M8" sqref="M8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1</v>
      </c>
      <c r="C8" s="9"/>
      <c r="D8" s="41" t="s">
        <v>254</v>
      </c>
      <c r="E8" s="7"/>
      <c r="F8" s="8"/>
      <c r="G8" s="39"/>
      <c r="H8" s="39"/>
      <c r="I8" s="39"/>
      <c r="J8" s="39"/>
      <c r="K8" s="25" t="s">
        <v>19</v>
      </c>
      <c r="L8" s="22" t="s">
        <v>255</v>
      </c>
      <c r="M8" s="26" t="s">
        <v>44</v>
      </c>
      <c r="N8" s="24">
        <v>2</v>
      </c>
      <c r="O8" s="24">
        <v>2</v>
      </c>
      <c r="P8" s="24">
        <v>2</v>
      </c>
      <c r="Q8" s="23">
        <v>2</v>
      </c>
      <c r="R8" s="23" t="s">
        <v>528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39"/>
      <c r="H9" s="39"/>
      <c r="I9" s="39"/>
      <c r="J9" s="39"/>
      <c r="K9" s="25" t="s">
        <v>21</v>
      </c>
      <c r="L9" s="22" t="s">
        <v>256</v>
      </c>
      <c r="M9" s="33" t="s">
        <v>44</v>
      </c>
      <c r="N9" s="24">
        <v>2</v>
      </c>
      <c r="O9" s="24">
        <v>2</v>
      </c>
      <c r="P9" s="24">
        <v>2</v>
      </c>
      <c r="Q9" s="23">
        <v>2</v>
      </c>
      <c r="R9" s="23" t="s">
        <v>528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39"/>
      <c r="H10" s="39"/>
      <c r="I10" s="39"/>
      <c r="J10" s="39"/>
      <c r="K10" s="25" t="s">
        <v>23</v>
      </c>
      <c r="L10" s="22" t="s">
        <v>257</v>
      </c>
      <c r="M10" s="33" t="s">
        <v>44</v>
      </c>
      <c r="N10" s="24">
        <v>4</v>
      </c>
      <c r="O10" s="24">
        <v>4</v>
      </c>
      <c r="P10" s="24">
        <v>4</v>
      </c>
      <c r="Q10" s="23">
        <v>4</v>
      </c>
      <c r="R10" s="23" t="s">
        <v>528</v>
      </c>
      <c r="S10" s="23" t="s">
        <v>44</v>
      </c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S18"/>
  <sheetViews>
    <sheetView view="pageLayout" zoomScaleNormal="100" workbookViewId="0">
      <selection activeCell="G7" sqref="G7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5.5703125" customWidth="1"/>
    <col min="5" max="5" width="5.85546875" customWidth="1"/>
    <col min="6" max="6" width="5.42578125" customWidth="1"/>
    <col min="7" max="7" width="7.42578125" customWidth="1"/>
    <col min="8" max="8" width="5.140625" customWidth="1"/>
    <col min="9" max="9" width="7.28515625" bestFit="1" customWidth="1"/>
    <col min="10" max="10" width="6" bestFit="1" customWidth="1"/>
    <col min="11" max="11" width="5.85546875" customWidth="1"/>
    <col min="12" max="12" width="13.5703125" customWidth="1"/>
    <col min="13" max="13" width="10.42578125" customWidth="1"/>
    <col min="14" max="14" width="5.7109375" customWidth="1"/>
    <col min="15" max="15" width="5.5703125" customWidth="1"/>
    <col min="16" max="18" width="5.140625" customWidth="1"/>
    <col min="19" max="20" width="8" customWidth="1"/>
    <col min="21" max="21" width="7.140625" customWidth="1"/>
  </cols>
  <sheetData>
    <row r="4" spans="1:19" ht="12" customHeight="1" x14ac:dyDescent="0.25"/>
    <row r="5" spans="1:19" ht="3.75" customHeight="1" x14ac:dyDescent="0.25"/>
    <row r="6" spans="1:19" ht="19.5" x14ac:dyDescent="0.25">
      <c r="A6" s="284" t="s">
        <v>0</v>
      </c>
      <c r="B6" s="285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5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5">
      <c r="A8" s="9"/>
      <c r="B8" s="24">
        <v>2</v>
      </c>
      <c r="C8" s="9"/>
      <c r="D8" s="24" t="s">
        <v>253</v>
      </c>
      <c r="E8" s="7"/>
      <c r="F8" s="8"/>
      <c r="G8" s="449"/>
      <c r="H8" s="449" t="s">
        <v>253</v>
      </c>
      <c r="I8" s="449">
        <v>1</v>
      </c>
      <c r="J8" s="449">
        <v>2</v>
      </c>
      <c r="K8" s="25" t="s">
        <v>19</v>
      </c>
      <c r="L8" s="22" t="s">
        <v>239</v>
      </c>
      <c r="M8" s="26" t="s">
        <v>245</v>
      </c>
      <c r="N8" s="24">
        <v>1</v>
      </c>
      <c r="O8" s="24">
        <v>1</v>
      </c>
      <c r="P8" s="23">
        <f t="shared" ref="P8:P15" si="0">O8*2</f>
        <v>2</v>
      </c>
      <c r="Q8" s="23">
        <v>61</v>
      </c>
      <c r="R8" s="23" t="s">
        <v>506</v>
      </c>
      <c r="S8" s="23" t="s">
        <v>44</v>
      </c>
    </row>
    <row r="9" spans="1:19" ht="14.25" customHeight="1" x14ac:dyDescent="0.25">
      <c r="A9" s="4"/>
      <c r="B9" s="8"/>
      <c r="C9" s="7"/>
      <c r="D9" s="7"/>
      <c r="E9" s="7"/>
      <c r="F9" s="8"/>
      <c r="G9" s="450"/>
      <c r="H9" s="450"/>
      <c r="I9" s="450"/>
      <c r="J9" s="450"/>
      <c r="K9" s="25" t="s">
        <v>21</v>
      </c>
      <c r="L9" s="22" t="s">
        <v>240</v>
      </c>
      <c r="M9" s="33" t="s">
        <v>246</v>
      </c>
      <c r="N9" s="24">
        <v>3</v>
      </c>
      <c r="O9" s="24">
        <v>3</v>
      </c>
      <c r="P9" s="23">
        <f t="shared" si="0"/>
        <v>6</v>
      </c>
      <c r="Q9" s="23">
        <v>25</v>
      </c>
      <c r="R9" s="23" t="s">
        <v>506</v>
      </c>
      <c r="S9" s="23" t="s">
        <v>44</v>
      </c>
    </row>
    <row r="10" spans="1:19" ht="14.25" customHeight="1" x14ac:dyDescent="0.25">
      <c r="A10" s="8"/>
      <c r="B10" s="8"/>
      <c r="C10" s="8"/>
      <c r="D10" s="8"/>
      <c r="E10" s="8"/>
      <c r="F10" s="8"/>
      <c r="G10" s="450"/>
      <c r="H10" s="450"/>
      <c r="I10" s="450"/>
      <c r="J10" s="450"/>
      <c r="K10" s="25" t="s">
        <v>23</v>
      </c>
      <c r="L10" s="22" t="s">
        <v>241</v>
      </c>
      <c r="M10" s="33" t="s">
        <v>247</v>
      </c>
      <c r="N10" s="24">
        <v>4</v>
      </c>
      <c r="O10" s="24">
        <v>4</v>
      </c>
      <c r="P10" s="23">
        <f t="shared" si="0"/>
        <v>8</v>
      </c>
      <c r="Q10" s="23">
        <v>12</v>
      </c>
      <c r="R10" s="23" t="s">
        <v>506</v>
      </c>
      <c r="S10" s="23" t="s">
        <v>44</v>
      </c>
    </row>
    <row r="11" spans="1:19" ht="14.25" customHeight="1" x14ac:dyDescent="0.25">
      <c r="A11" s="4"/>
      <c r="B11" s="8"/>
      <c r="C11" s="7"/>
      <c r="D11" s="7"/>
      <c r="E11" s="7"/>
      <c r="F11" s="8"/>
      <c r="G11" s="450"/>
      <c r="H11" s="450"/>
      <c r="I11" s="450"/>
      <c r="J11" s="450"/>
      <c r="K11" s="25" t="s">
        <v>26</v>
      </c>
      <c r="L11" s="36" t="s">
        <v>242</v>
      </c>
      <c r="M11" s="33" t="s">
        <v>252</v>
      </c>
      <c r="N11" s="33">
        <v>2</v>
      </c>
      <c r="O11" s="33">
        <v>2</v>
      </c>
      <c r="P11" s="23">
        <f t="shared" si="0"/>
        <v>4</v>
      </c>
      <c r="Q11" s="23">
        <v>78</v>
      </c>
      <c r="R11" s="23" t="s">
        <v>506</v>
      </c>
      <c r="S11" s="23" t="s">
        <v>44</v>
      </c>
    </row>
    <row r="12" spans="1:19" x14ac:dyDescent="0.25">
      <c r="A12" s="4"/>
      <c r="B12" s="8"/>
      <c r="C12" s="7"/>
      <c r="D12" s="7"/>
      <c r="E12" s="7"/>
      <c r="F12" s="8"/>
      <c r="G12" s="450"/>
      <c r="H12" s="450"/>
      <c r="I12" s="450"/>
      <c r="J12" s="450"/>
      <c r="K12" s="25" t="s">
        <v>29</v>
      </c>
      <c r="L12" s="40" t="s">
        <v>243</v>
      </c>
      <c r="M12" s="33" t="s">
        <v>249</v>
      </c>
      <c r="N12" s="24">
        <v>1</v>
      </c>
      <c r="O12" s="24">
        <v>1</v>
      </c>
      <c r="P12" s="23">
        <f t="shared" si="0"/>
        <v>2</v>
      </c>
      <c r="Q12" s="23">
        <v>40</v>
      </c>
      <c r="R12" s="23" t="s">
        <v>506</v>
      </c>
      <c r="S12" s="23" t="s">
        <v>44</v>
      </c>
    </row>
    <row r="13" spans="1:19" x14ac:dyDescent="0.25">
      <c r="A13" s="4"/>
      <c r="B13" s="8"/>
      <c r="C13" s="7"/>
      <c r="D13" s="7"/>
      <c r="E13" s="7"/>
      <c r="F13" s="8"/>
      <c r="G13" s="450"/>
      <c r="H13" s="450"/>
      <c r="I13" s="450"/>
      <c r="J13" s="450"/>
      <c r="K13" s="25" t="s">
        <v>32</v>
      </c>
      <c r="L13" s="22" t="s">
        <v>151</v>
      </c>
      <c r="M13" s="33" t="s">
        <v>250</v>
      </c>
      <c r="N13" s="24">
        <v>2</v>
      </c>
      <c r="O13" s="24">
        <v>2</v>
      </c>
      <c r="P13" s="23">
        <f t="shared" si="0"/>
        <v>4</v>
      </c>
      <c r="Q13" s="23">
        <v>2.5</v>
      </c>
      <c r="R13" s="23" t="s">
        <v>506</v>
      </c>
      <c r="S13" s="23" t="s">
        <v>44</v>
      </c>
    </row>
    <row r="14" spans="1:19" x14ac:dyDescent="0.25">
      <c r="A14" s="4"/>
      <c r="B14" s="8"/>
      <c r="C14" s="7"/>
      <c r="D14" s="7"/>
      <c r="E14" s="7"/>
      <c r="F14" s="8"/>
      <c r="G14" s="450"/>
      <c r="H14" s="450"/>
      <c r="I14" s="450"/>
      <c r="J14" s="450"/>
      <c r="K14" s="25" t="s">
        <v>35</v>
      </c>
      <c r="L14" s="22" t="s">
        <v>244</v>
      </c>
      <c r="M14" s="33" t="s">
        <v>251</v>
      </c>
      <c r="N14" s="24">
        <v>4</v>
      </c>
      <c r="O14" s="24">
        <v>4</v>
      </c>
      <c r="P14" s="23">
        <f t="shared" si="0"/>
        <v>8</v>
      </c>
      <c r="Q14" s="23">
        <v>12</v>
      </c>
      <c r="R14" s="23" t="s">
        <v>506</v>
      </c>
      <c r="S14" s="23" t="s">
        <v>44</v>
      </c>
    </row>
    <row r="15" spans="1:19" x14ac:dyDescent="0.25">
      <c r="A15" s="4"/>
      <c r="B15" s="8"/>
      <c r="C15" s="7"/>
      <c r="D15" s="7"/>
      <c r="E15" s="7"/>
      <c r="F15" s="8"/>
      <c r="G15" s="450"/>
      <c r="H15" s="450"/>
      <c r="I15" s="450"/>
      <c r="J15" s="450"/>
      <c r="K15" s="25" t="s">
        <v>37</v>
      </c>
      <c r="L15" s="22" t="s">
        <v>38</v>
      </c>
      <c r="M15" s="24" t="s">
        <v>248</v>
      </c>
      <c r="N15" s="24">
        <v>27</v>
      </c>
      <c r="O15" s="24">
        <v>27</v>
      </c>
      <c r="P15" s="23">
        <f t="shared" si="0"/>
        <v>54</v>
      </c>
      <c r="Q15" s="23">
        <v>54</v>
      </c>
      <c r="R15" s="23" t="s">
        <v>528</v>
      </c>
      <c r="S15" s="23" t="s">
        <v>44</v>
      </c>
    </row>
    <row r="16" spans="1:19" x14ac:dyDescent="0.25">
      <c r="A16" s="4"/>
      <c r="B16" s="8"/>
      <c r="C16" s="7"/>
      <c r="D16" s="7"/>
      <c r="E16" s="7"/>
      <c r="F16" s="8"/>
      <c r="G16" s="451"/>
      <c r="H16" s="451"/>
      <c r="I16" s="451"/>
      <c r="J16" s="451"/>
      <c r="K16" s="25" t="s">
        <v>40</v>
      </c>
      <c r="L16" s="22" t="s">
        <v>90</v>
      </c>
      <c r="M16" s="24" t="s">
        <v>248</v>
      </c>
      <c r="N16" s="24">
        <v>27</v>
      </c>
      <c r="O16" s="24">
        <v>27</v>
      </c>
      <c r="P16" s="23">
        <f>O16*2</f>
        <v>54</v>
      </c>
      <c r="Q16" s="23">
        <v>54</v>
      </c>
      <c r="R16" s="23" t="s">
        <v>528</v>
      </c>
      <c r="S16" s="23" t="s">
        <v>44</v>
      </c>
    </row>
    <row r="17" spans="1:19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5" t="s">
        <v>51</v>
      </c>
      <c r="L17" s="234" t="s">
        <v>71</v>
      </c>
      <c r="M17" s="23" t="s">
        <v>684</v>
      </c>
      <c r="N17" s="23">
        <v>1</v>
      </c>
      <c r="O17" s="23">
        <v>1</v>
      </c>
      <c r="P17" s="23">
        <v>1</v>
      </c>
      <c r="Q17" s="23">
        <v>1</v>
      </c>
      <c r="R17" s="23" t="s">
        <v>528</v>
      </c>
      <c r="S17" s="23" t="s">
        <v>44</v>
      </c>
    </row>
    <row r="18" spans="1:19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5" t="s">
        <v>52</v>
      </c>
      <c r="L18" s="234" t="s">
        <v>71</v>
      </c>
      <c r="M18" s="23" t="s">
        <v>685</v>
      </c>
      <c r="N18" s="23">
        <v>1</v>
      </c>
      <c r="O18" s="23">
        <v>1</v>
      </c>
      <c r="P18" s="23">
        <v>1</v>
      </c>
      <c r="Q18" s="23">
        <v>1</v>
      </c>
      <c r="R18" s="23" t="s">
        <v>528</v>
      </c>
      <c r="S18" s="23" t="s">
        <v>44</v>
      </c>
    </row>
  </sheetData>
  <mergeCells count="5">
    <mergeCell ref="J8:J16"/>
    <mergeCell ref="I8:I16"/>
    <mergeCell ref="H8:H16"/>
    <mergeCell ref="G8:G16"/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Vacuum Cleaner 3400</vt:lpstr>
      <vt:lpstr>Dust Collector</vt:lpstr>
      <vt:lpstr>درام روتاری</vt:lpstr>
      <vt:lpstr>پایه ثابت روتاری</vt:lpstr>
      <vt:lpstr>پایه متحرک روتاری</vt:lpstr>
      <vt:lpstr>قاب روتاری</vt:lpstr>
      <vt:lpstr>سیستم محرک روتاری</vt:lpstr>
      <vt:lpstr>Insurment</vt:lpstr>
      <vt:lpstr>Fan Case</vt:lpstr>
      <vt:lpstr>Damper</vt:lpstr>
      <vt:lpstr>Coil</vt:lpstr>
      <vt:lpstr>Static Water Filter</vt:lpstr>
      <vt:lpstr>Pumping</vt:lpstr>
      <vt:lpstr>Ventilatin Door</vt:lpstr>
      <vt:lpstr>Nozzle Bank</vt:lpstr>
      <vt:lpstr>Eliminator</vt:lpstr>
      <vt:lpstr>Air Baffle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2019-02-13T07:23:14Z</dcterms:modified>
</cp:coreProperties>
</file>