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35"/>
  </bookViews>
  <sheets>
    <sheet name="Vacuum Cleaner 3400" sheetId="61" r:id="rId1"/>
    <sheet name="Dust Collector" sheetId="62" r:id="rId2"/>
    <sheet name="درام روتاری" sheetId="54" r:id="rId3"/>
    <sheet name="پایه ثابت روتاری" sheetId="55" r:id="rId4"/>
    <sheet name="پایه متحرک روتاری" sheetId="56" r:id="rId5"/>
    <sheet name="قاب روتاری" sheetId="57" r:id="rId6"/>
    <sheet name="سیستم محرک روتاری" sheetId="58" r:id="rId7"/>
    <sheet name="Insurment" sheetId="51" r:id="rId8"/>
    <sheet name="Fan Case" sheetId="50" r:id="rId9"/>
    <sheet name="Damper" sheetId="49" r:id="rId10"/>
    <sheet name="Coil" sheetId="48" r:id="rId11"/>
    <sheet name="Static Water Filter" sheetId="47" r:id="rId12"/>
    <sheet name="Pumping" sheetId="46" r:id="rId13"/>
    <sheet name="Ventilatin Door" sheetId="45" r:id="rId14"/>
    <sheet name="Nozzle Bank" sheetId="44" r:id="rId15"/>
    <sheet name="Eliminator" sheetId="42" r:id="rId16"/>
    <sheet name="Air Baffle" sheetId="14" r:id="rId17"/>
  </sheets>
  <calcPr calcId="152511"/>
</workbook>
</file>

<file path=xl/calcChain.xml><?xml version="1.0" encoding="utf-8"?>
<calcChain xmlns="http://schemas.openxmlformats.org/spreadsheetml/2006/main">
  <c r="P128" i="62" l="1"/>
  <c r="P127" i="62"/>
  <c r="P126" i="62"/>
  <c r="P125" i="62"/>
  <c r="J125" i="62"/>
  <c r="P124" i="62"/>
  <c r="P123" i="62"/>
  <c r="P122" i="62"/>
  <c r="P121" i="62"/>
  <c r="J121" i="62"/>
  <c r="P120" i="62"/>
  <c r="P119" i="62"/>
  <c r="P118" i="62"/>
  <c r="P117" i="62"/>
  <c r="P116" i="62"/>
  <c r="P115" i="62"/>
  <c r="P114" i="62"/>
  <c r="P113" i="62"/>
  <c r="P112" i="62"/>
  <c r="J112" i="62"/>
  <c r="P111" i="62"/>
  <c r="F111" i="62"/>
  <c r="P98" i="62"/>
  <c r="P97" i="62"/>
  <c r="P96" i="62"/>
  <c r="P95" i="62"/>
  <c r="J95" i="62"/>
  <c r="P94" i="62"/>
  <c r="P93" i="62"/>
  <c r="P92" i="62"/>
  <c r="J92" i="62"/>
  <c r="P91" i="62"/>
  <c r="P90" i="62"/>
  <c r="P89" i="62"/>
  <c r="P88" i="62"/>
  <c r="P87" i="62"/>
  <c r="P86" i="62"/>
  <c r="P85" i="62"/>
  <c r="P84" i="62"/>
  <c r="P83" i="62"/>
  <c r="P82" i="62"/>
  <c r="P81" i="62"/>
  <c r="P80" i="62"/>
  <c r="P79" i="62"/>
  <c r="P78" i="62"/>
  <c r="P77" i="62"/>
  <c r="P76" i="62"/>
  <c r="P75" i="62"/>
  <c r="P74" i="62"/>
  <c r="P73" i="62"/>
  <c r="P72" i="62"/>
  <c r="J72" i="62"/>
  <c r="F72" i="62"/>
  <c r="P49" i="62"/>
  <c r="P48" i="62"/>
  <c r="P47" i="62"/>
  <c r="O46" i="62"/>
  <c r="P46" i="62" s="1"/>
  <c r="P45" i="62"/>
  <c r="J45" i="62"/>
  <c r="P44" i="62"/>
  <c r="P43" i="62"/>
  <c r="O43" i="62"/>
  <c r="O42" i="62"/>
  <c r="P42" i="62" s="1"/>
  <c r="J42" i="62"/>
  <c r="F42" i="62"/>
  <c r="P19" i="62"/>
  <c r="P18" i="62"/>
  <c r="P17" i="62"/>
  <c r="P16" i="62"/>
  <c r="O15" i="62"/>
  <c r="P15" i="62" s="1"/>
  <c r="P14" i="62"/>
  <c r="O14" i="62"/>
  <c r="O13" i="62"/>
  <c r="P13" i="62" s="1"/>
  <c r="P12" i="62"/>
  <c r="O12" i="62"/>
  <c r="O11" i="62"/>
  <c r="P11" i="62" s="1"/>
  <c r="P10" i="62"/>
  <c r="O10" i="62"/>
  <c r="O9" i="62"/>
  <c r="P9" i="62" s="1"/>
  <c r="P8" i="62"/>
  <c r="O8" i="62"/>
  <c r="J8" i="62"/>
  <c r="F8" i="62"/>
  <c r="P13" i="61"/>
  <c r="O13" i="61"/>
  <c r="O12" i="61"/>
  <c r="P12" i="61" s="1"/>
  <c r="J12" i="61"/>
  <c r="O11" i="61"/>
  <c r="P11" i="61" s="1"/>
  <c r="O10" i="61"/>
  <c r="P10" i="61" s="1"/>
  <c r="O9" i="61"/>
  <c r="P9" i="61" s="1"/>
  <c r="O8" i="61"/>
  <c r="P8" i="61" s="1"/>
  <c r="F8" i="61"/>
  <c r="J8" i="61" s="1"/>
  <c r="P11" i="49" l="1"/>
  <c r="P26" i="58" l="1"/>
  <c r="Q26" i="58" s="1"/>
  <c r="R26" i="58" s="1"/>
  <c r="Q25" i="58"/>
  <c r="R25" i="58" s="1"/>
  <c r="P25" i="58"/>
  <c r="P24" i="58"/>
  <c r="Q24" i="58" s="1"/>
  <c r="R24" i="58" s="1"/>
  <c r="Q23" i="58"/>
  <c r="R23" i="58" s="1"/>
  <c r="P23" i="58"/>
  <c r="P22" i="58"/>
  <c r="Q22" i="58" s="1"/>
  <c r="R22" i="58" s="1"/>
  <c r="R21" i="58"/>
  <c r="Q21" i="58"/>
  <c r="P21" i="58"/>
  <c r="R20" i="58"/>
  <c r="Q20" i="58"/>
  <c r="P20" i="58"/>
  <c r="Q19" i="58"/>
  <c r="R19" i="58" s="1"/>
  <c r="P19" i="58"/>
  <c r="P18" i="58"/>
  <c r="Q18" i="58" s="1"/>
  <c r="R18" i="58" s="1"/>
  <c r="R17" i="58"/>
  <c r="Q17" i="58"/>
  <c r="P17" i="58"/>
  <c r="R16" i="58"/>
  <c r="Q16" i="58"/>
  <c r="P16" i="58"/>
  <c r="Q15" i="58"/>
  <c r="R15" i="58" s="1"/>
  <c r="P15" i="58"/>
  <c r="P14" i="58"/>
  <c r="Q14" i="58" s="1"/>
  <c r="R14" i="58" s="1"/>
  <c r="R13" i="58"/>
  <c r="Q13" i="58"/>
  <c r="P13" i="58"/>
  <c r="R12" i="58"/>
  <c r="Q12" i="58"/>
  <c r="P12" i="58"/>
  <c r="Q11" i="58"/>
  <c r="R11" i="58" s="1"/>
  <c r="P11" i="58"/>
  <c r="P10" i="58"/>
  <c r="Q10" i="58" s="1"/>
  <c r="R10" i="58" s="1"/>
  <c r="R9" i="58"/>
  <c r="Q9" i="58"/>
  <c r="P9" i="58"/>
  <c r="R8" i="58"/>
  <c r="Q8" i="58"/>
  <c r="P8" i="58"/>
  <c r="K8" i="58"/>
  <c r="B8" i="58"/>
  <c r="R24" i="57"/>
  <c r="Q24" i="57"/>
  <c r="P24" i="57"/>
  <c r="R23" i="57"/>
  <c r="Q23" i="57"/>
  <c r="P23" i="57"/>
  <c r="Q22" i="57"/>
  <c r="R22" i="57" s="1"/>
  <c r="P22" i="57"/>
  <c r="P21" i="57"/>
  <c r="Q21" i="57" s="1"/>
  <c r="R21" i="57" s="1"/>
  <c r="R20" i="57"/>
  <c r="Q20" i="57"/>
  <c r="P20" i="57"/>
  <c r="R19" i="57"/>
  <c r="Q19" i="57"/>
  <c r="P19" i="57"/>
  <c r="R18" i="57"/>
  <c r="Q18" i="57"/>
  <c r="P18" i="57"/>
  <c r="Q17" i="57"/>
  <c r="R17" i="57" s="1"/>
  <c r="P17" i="57"/>
  <c r="K17" i="57"/>
  <c r="Q15" i="57"/>
  <c r="P15" i="57"/>
  <c r="P14" i="57"/>
  <c r="Q14" i="57" s="1"/>
  <c r="Q13" i="57"/>
  <c r="P13" i="57"/>
  <c r="R12" i="57"/>
  <c r="Q12" i="57"/>
  <c r="P12" i="57"/>
  <c r="Q11" i="57"/>
  <c r="P11" i="57"/>
  <c r="P10" i="57"/>
  <c r="Q10" i="57" s="1"/>
  <c r="Q9" i="57"/>
  <c r="P9" i="57"/>
  <c r="R8" i="57"/>
  <c r="Q8" i="57"/>
  <c r="R14" i="57" s="1"/>
  <c r="P8" i="57"/>
  <c r="G8" i="57"/>
  <c r="K19" i="57" s="1"/>
  <c r="B8" i="57"/>
  <c r="O16" i="57" s="1"/>
  <c r="P16" i="57" s="1"/>
  <c r="Q16" i="57" s="1"/>
  <c r="R16" i="57" s="1"/>
  <c r="R49" i="56"/>
  <c r="Q49" i="56"/>
  <c r="P49" i="56"/>
  <c r="R48" i="56"/>
  <c r="Q48" i="56"/>
  <c r="P48" i="56"/>
  <c r="Q47" i="56"/>
  <c r="R47" i="56" s="1"/>
  <c r="P47" i="56"/>
  <c r="P46" i="56"/>
  <c r="Q46" i="56" s="1"/>
  <c r="R46" i="56" s="1"/>
  <c r="R45" i="56"/>
  <c r="Q45" i="56"/>
  <c r="P45" i="56"/>
  <c r="R44" i="56"/>
  <c r="Q44" i="56"/>
  <c r="P44" i="56"/>
  <c r="Q43" i="56"/>
  <c r="R43" i="56" s="1"/>
  <c r="P43" i="56"/>
  <c r="P42" i="56"/>
  <c r="Q42" i="56" s="1"/>
  <c r="R42" i="56" s="1"/>
  <c r="R41" i="56"/>
  <c r="Q41" i="56"/>
  <c r="P41" i="56"/>
  <c r="R40" i="56"/>
  <c r="Q40" i="56"/>
  <c r="P40" i="56"/>
  <c r="Q39" i="56"/>
  <c r="R39" i="56" s="1"/>
  <c r="P39" i="56"/>
  <c r="P38" i="56"/>
  <c r="Q38" i="56" s="1"/>
  <c r="R38" i="56" s="1"/>
  <c r="R37" i="56"/>
  <c r="Q37" i="56"/>
  <c r="P37" i="56"/>
  <c r="G37" i="56"/>
  <c r="B37" i="56"/>
  <c r="P23" i="56"/>
  <c r="Q23" i="56" s="1"/>
  <c r="R23" i="56" s="1"/>
  <c r="R22" i="56"/>
  <c r="Q22" i="56"/>
  <c r="P22" i="56"/>
  <c r="R21" i="56"/>
  <c r="Q21" i="56"/>
  <c r="P21" i="56"/>
  <c r="Q20" i="56"/>
  <c r="R20" i="56" s="1"/>
  <c r="P20" i="56"/>
  <c r="P19" i="56"/>
  <c r="Q19" i="56" s="1"/>
  <c r="R19" i="56" s="1"/>
  <c r="Q18" i="56"/>
  <c r="P18" i="56"/>
  <c r="Q17" i="56"/>
  <c r="P17" i="56"/>
  <c r="R16" i="56"/>
  <c r="Q16" i="56"/>
  <c r="P16" i="56"/>
  <c r="R15" i="56"/>
  <c r="Q15" i="56"/>
  <c r="P15" i="56"/>
  <c r="Q14" i="56"/>
  <c r="R14" i="56" s="1"/>
  <c r="P14" i="56"/>
  <c r="P13" i="56"/>
  <c r="Q13" i="56" s="1"/>
  <c r="P12" i="56"/>
  <c r="Q12" i="56" s="1"/>
  <c r="P11" i="56"/>
  <c r="Q11" i="56" s="1"/>
  <c r="P10" i="56"/>
  <c r="Q10" i="56" s="1"/>
  <c r="R10" i="56" s="1"/>
  <c r="R9" i="56"/>
  <c r="Q9" i="56"/>
  <c r="P9" i="56"/>
  <c r="R8" i="56"/>
  <c r="Q8" i="56"/>
  <c r="P8" i="56"/>
  <c r="G8" i="56"/>
  <c r="K8" i="56" s="1"/>
  <c r="B8" i="56"/>
  <c r="N17" i="56" s="1"/>
  <c r="P18" i="55"/>
  <c r="Q18" i="55" s="1"/>
  <c r="R18" i="55" s="1"/>
  <c r="P17" i="55"/>
  <c r="Q17" i="55" s="1"/>
  <c r="R17" i="55" s="1"/>
  <c r="R16" i="55"/>
  <c r="Q16" i="55"/>
  <c r="P16" i="55"/>
  <c r="Q15" i="55"/>
  <c r="R15" i="55" s="1"/>
  <c r="P15" i="55"/>
  <c r="P14" i="55"/>
  <c r="Q14" i="55" s="1"/>
  <c r="R14" i="55" s="1"/>
  <c r="P13" i="55"/>
  <c r="Q13" i="55" s="1"/>
  <c r="R13" i="55" s="1"/>
  <c r="R12" i="55"/>
  <c r="Q12" i="55"/>
  <c r="P12" i="55"/>
  <c r="Q11" i="55"/>
  <c r="R11" i="55" s="1"/>
  <c r="P11" i="55"/>
  <c r="P10" i="55"/>
  <c r="Q10" i="55" s="1"/>
  <c r="P9" i="55"/>
  <c r="Q9" i="55" s="1"/>
  <c r="R9" i="55" s="1"/>
  <c r="R8" i="55"/>
  <c r="Q8" i="55"/>
  <c r="P8" i="55"/>
  <c r="G8" i="55"/>
  <c r="B8" i="55"/>
  <c r="R10" i="55" s="1"/>
  <c r="P57" i="54"/>
  <c r="Q57" i="54" s="1"/>
  <c r="R57" i="54" s="1"/>
  <c r="N57" i="54"/>
  <c r="P56" i="54"/>
  <c r="Q56" i="54" s="1"/>
  <c r="R56" i="54" s="1"/>
  <c r="P55" i="54"/>
  <c r="Q55" i="54" s="1"/>
  <c r="R55" i="54" s="1"/>
  <c r="O51" i="54"/>
  <c r="P51" i="54" s="1"/>
  <c r="Q51" i="54" s="1"/>
  <c r="R51" i="54" s="1"/>
  <c r="O43" i="54"/>
  <c r="P43" i="54" s="1"/>
  <c r="Q43" i="54" s="1"/>
  <c r="R43" i="54" s="1"/>
  <c r="K43" i="54"/>
  <c r="P39" i="54"/>
  <c r="Q39" i="54" s="1"/>
  <c r="R39" i="54" s="1"/>
  <c r="O39" i="54"/>
  <c r="O40" i="54" s="1"/>
  <c r="G39" i="54"/>
  <c r="Q26" i="54"/>
  <c r="R26" i="54" s="1"/>
  <c r="P26" i="54"/>
  <c r="O26" i="54"/>
  <c r="N26" i="54"/>
  <c r="O25" i="54"/>
  <c r="P25" i="54" s="1"/>
  <c r="Q25" i="54" s="1"/>
  <c r="R25" i="54" s="1"/>
  <c r="O24" i="54"/>
  <c r="O46" i="54" s="1"/>
  <c r="R23" i="54"/>
  <c r="Q23" i="54"/>
  <c r="P23" i="54"/>
  <c r="N23" i="54"/>
  <c r="O22" i="54"/>
  <c r="P22" i="54" s="1"/>
  <c r="Q22" i="54" s="1"/>
  <c r="R22" i="54" s="1"/>
  <c r="N20" i="54"/>
  <c r="J20" i="54"/>
  <c r="O21" i="54" s="1"/>
  <c r="P21" i="54" s="1"/>
  <c r="Q21" i="54" s="1"/>
  <c r="R21" i="54" s="1"/>
  <c r="J18" i="54"/>
  <c r="O18" i="54" s="1"/>
  <c r="P17" i="54"/>
  <c r="Q17" i="54" s="1"/>
  <c r="R17" i="54" s="1"/>
  <c r="R16" i="54"/>
  <c r="Q16" i="54"/>
  <c r="P16" i="54"/>
  <c r="N16" i="54"/>
  <c r="K16" i="54"/>
  <c r="O15" i="54"/>
  <c r="P15" i="54" s="1"/>
  <c r="Q15" i="54" s="1"/>
  <c r="R15" i="54" s="1"/>
  <c r="O14" i="54"/>
  <c r="P14" i="54" s="1"/>
  <c r="Q14" i="54" s="1"/>
  <c r="R14" i="54" s="1"/>
  <c r="P13" i="54"/>
  <c r="Q13" i="54" s="1"/>
  <c r="R13" i="54" s="1"/>
  <c r="R12" i="54"/>
  <c r="Q12" i="54"/>
  <c r="P12" i="54"/>
  <c r="K12" i="54"/>
  <c r="O9" i="54"/>
  <c r="P9" i="54" s="1"/>
  <c r="Q9" i="54" s="1"/>
  <c r="R9" i="54" s="1"/>
  <c r="J8" i="54"/>
  <c r="O54" i="54" s="1"/>
  <c r="P54" i="54" s="1"/>
  <c r="Q54" i="54" s="1"/>
  <c r="R54" i="54" s="1"/>
  <c r="G8" i="54"/>
  <c r="K20" i="54" s="1"/>
  <c r="O10" i="54" l="1"/>
  <c r="P10" i="54" s="1"/>
  <c r="Q10" i="54" s="1"/>
  <c r="R10" i="54" s="1"/>
  <c r="K8" i="54"/>
  <c r="O11" i="54"/>
  <c r="P11" i="54" s="1"/>
  <c r="Q11" i="54" s="1"/>
  <c r="R11" i="54" s="1"/>
  <c r="O8" i="54"/>
  <c r="P8" i="54" s="1"/>
  <c r="Q8" i="54" s="1"/>
  <c r="R8" i="54" s="1"/>
  <c r="R13" i="56"/>
  <c r="P46" i="54"/>
  <c r="Q46" i="54" s="1"/>
  <c r="R46" i="54" s="1"/>
  <c r="O47" i="54"/>
  <c r="P47" i="54" s="1"/>
  <c r="Q47" i="54" s="1"/>
  <c r="R47" i="54" s="1"/>
  <c r="P18" i="54"/>
  <c r="Q18" i="54" s="1"/>
  <c r="R18" i="54" s="1"/>
  <c r="O19" i="54"/>
  <c r="P19" i="54" s="1"/>
  <c r="Q19" i="54" s="1"/>
  <c r="R19" i="54" s="1"/>
  <c r="P40" i="54"/>
  <c r="Q40" i="54" s="1"/>
  <c r="R40" i="54" s="1"/>
  <c r="O41" i="54"/>
  <c r="P41" i="54" s="1"/>
  <c r="Q41" i="54" s="1"/>
  <c r="R41" i="54" s="1"/>
  <c r="K18" i="54"/>
  <c r="O20" i="54"/>
  <c r="P20" i="54" s="1"/>
  <c r="Q20" i="54" s="1"/>
  <c r="R20" i="54" s="1"/>
  <c r="P24" i="54"/>
  <c r="Q24" i="54" s="1"/>
  <c r="R24" i="54" s="1"/>
  <c r="N10" i="55"/>
  <c r="N11" i="56"/>
  <c r="N12" i="56"/>
  <c r="N13" i="56"/>
  <c r="R17" i="56"/>
  <c r="R18" i="56"/>
  <c r="R9" i="57"/>
  <c r="R13" i="57"/>
  <c r="O42" i="54"/>
  <c r="P42" i="54" s="1"/>
  <c r="Q42" i="54" s="1"/>
  <c r="R42" i="54" s="1"/>
  <c r="N18" i="56"/>
  <c r="O44" i="54"/>
  <c r="O48" i="54"/>
  <c r="O52" i="54"/>
  <c r="P52" i="54" s="1"/>
  <c r="Q52" i="54" s="1"/>
  <c r="R52" i="54" s="1"/>
  <c r="O53" i="54"/>
  <c r="P53" i="54" s="1"/>
  <c r="Q53" i="54" s="1"/>
  <c r="R53" i="54" s="1"/>
  <c r="R11" i="57"/>
  <c r="R15" i="57"/>
  <c r="R11" i="56"/>
  <c r="R12" i="56"/>
  <c r="R10" i="57"/>
  <c r="P8" i="50"/>
  <c r="P9" i="50"/>
  <c r="P10" i="50"/>
  <c r="P11" i="50"/>
  <c r="P12" i="50"/>
  <c r="P13" i="50"/>
  <c r="P14" i="50"/>
  <c r="P15" i="50"/>
  <c r="P16" i="50"/>
  <c r="P28" i="49"/>
  <c r="P29" i="49"/>
  <c r="P27" i="49"/>
  <c r="P9" i="49"/>
  <c r="P10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8" i="49"/>
  <c r="P9" i="48"/>
  <c r="P10" i="48"/>
  <c r="P11" i="48"/>
  <c r="P12" i="48"/>
  <c r="P13" i="48"/>
  <c r="P14" i="48"/>
  <c r="P15" i="48"/>
  <c r="P16" i="48"/>
  <c r="P8" i="48"/>
  <c r="P27" i="45"/>
  <c r="P26" i="45"/>
  <c r="P25" i="45"/>
  <c r="P24" i="45"/>
  <c r="P23" i="45"/>
  <c r="P22" i="45"/>
  <c r="P21" i="45"/>
  <c r="P20" i="45"/>
  <c r="P19" i="45"/>
  <c r="P18" i="45"/>
  <c r="P17" i="45"/>
  <c r="P16" i="45"/>
  <c r="P15" i="45"/>
  <c r="P14" i="45"/>
  <c r="P13" i="45"/>
  <c r="P12" i="45"/>
  <c r="P11" i="45"/>
  <c r="P10" i="45"/>
  <c r="P9" i="45"/>
  <c r="P8" i="45"/>
  <c r="O26" i="44"/>
  <c r="P26" i="44" s="1"/>
  <c r="O25" i="44"/>
  <c r="P25" i="44" s="1"/>
  <c r="O24" i="44"/>
  <c r="P24" i="44" s="1"/>
  <c r="O23" i="44"/>
  <c r="P23" i="44" s="1"/>
  <c r="P22" i="44"/>
  <c r="O21" i="44"/>
  <c r="P21" i="44" s="1"/>
  <c r="O20" i="44"/>
  <c r="P20" i="44" s="1"/>
  <c r="O19" i="44"/>
  <c r="P19" i="44" s="1"/>
  <c r="O18" i="44"/>
  <c r="P18" i="44" s="1"/>
  <c r="O17" i="44"/>
  <c r="P17" i="44" s="1"/>
  <c r="O16" i="44"/>
  <c r="P16" i="44" s="1"/>
  <c r="O15" i="44"/>
  <c r="P15" i="44" s="1"/>
  <c r="O14" i="44"/>
  <c r="P14" i="44" s="1"/>
  <c r="O13" i="44"/>
  <c r="P13" i="44" s="1"/>
  <c r="O12" i="44"/>
  <c r="P12" i="44" s="1"/>
  <c r="O11" i="44"/>
  <c r="P11" i="44" s="1"/>
  <c r="O10" i="44"/>
  <c r="P10" i="44" s="1"/>
  <c r="O9" i="44"/>
  <c r="P9" i="44" s="1"/>
  <c r="O8" i="44"/>
  <c r="P8" i="44" s="1"/>
  <c r="P45" i="42"/>
  <c r="O45" i="42"/>
  <c r="P44" i="42"/>
  <c r="O44" i="42"/>
  <c r="P43" i="42"/>
  <c r="O43" i="42"/>
  <c r="P42" i="42"/>
  <c r="O42" i="42"/>
  <c r="P41" i="42"/>
  <c r="O41" i="42"/>
  <c r="P40" i="42"/>
  <c r="O40" i="42"/>
  <c r="P25" i="42"/>
  <c r="O25" i="42"/>
  <c r="P24" i="42"/>
  <c r="O24" i="42"/>
  <c r="P23" i="42"/>
  <c r="O23" i="42"/>
  <c r="P22" i="42"/>
  <c r="O22" i="42"/>
  <c r="P21" i="42"/>
  <c r="O21" i="42"/>
  <c r="P20" i="42"/>
  <c r="O20" i="42"/>
  <c r="P19" i="42"/>
  <c r="O19" i="42"/>
  <c r="P18" i="42"/>
  <c r="O18" i="42"/>
  <c r="P17" i="42"/>
  <c r="O17" i="42"/>
  <c r="P16" i="42"/>
  <c r="O16" i="42"/>
  <c r="P15" i="42"/>
  <c r="P14" i="42"/>
  <c r="O14" i="42"/>
  <c r="P11" i="42"/>
  <c r="O11" i="42"/>
  <c r="P10" i="42"/>
  <c r="O10" i="42"/>
  <c r="P9" i="42"/>
  <c r="P44" i="54" l="1"/>
  <c r="Q44" i="54" s="1"/>
  <c r="R44" i="54" s="1"/>
  <c r="O45" i="54"/>
  <c r="P45" i="54" s="1"/>
  <c r="Q45" i="54" s="1"/>
  <c r="R45" i="54" s="1"/>
  <c r="P48" i="54"/>
  <c r="Q48" i="54" s="1"/>
  <c r="R48" i="54" s="1"/>
  <c r="O49" i="54"/>
  <c r="P49" i="54" l="1"/>
  <c r="Q49" i="54" s="1"/>
  <c r="R49" i="54" s="1"/>
  <c r="O50" i="54"/>
  <c r="P50" i="54" s="1"/>
  <c r="Q50" i="54" s="1"/>
  <c r="R50" i="54" s="1"/>
</calcChain>
</file>

<file path=xl/sharedStrings.xml><?xml version="1.0" encoding="utf-8"?>
<sst xmlns="http://schemas.openxmlformats.org/spreadsheetml/2006/main" count="2660" uniqueCount="691">
  <si>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</si>
  <si>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</si>
  <si>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</si>
  <si>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</si>
  <si>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</si>
  <si>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</si>
  <si>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</si>
  <si>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</si>
  <si>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</si>
  <si>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</si>
  <si>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</si>
  <si>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</si>
  <si>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</si>
  <si>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</si>
  <si>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</si>
  <si>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</si>
  <si>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</si>
  <si>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</si>
  <si>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</si>
  <si>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1</t>
  </si>
  <si>
    <t>ناودانی عرضی</t>
  </si>
  <si>
    <t>2</t>
  </si>
  <si>
    <t>ناودانی طولی</t>
  </si>
  <si>
    <t>3</t>
  </si>
  <si>
    <t>پیچ دوسو</t>
  </si>
  <si>
    <t>M5x50</t>
  </si>
  <si>
    <t>4</t>
  </si>
  <si>
    <t>رولپلاک</t>
  </si>
  <si>
    <t>6x40</t>
  </si>
  <si>
    <t>5</t>
  </si>
  <si>
    <t>شبکه ایربافل</t>
  </si>
  <si>
    <t>600x300</t>
  </si>
  <si>
    <t>6</t>
  </si>
  <si>
    <t>چفت</t>
  </si>
  <si>
    <t>--</t>
  </si>
  <si>
    <t>7</t>
  </si>
  <si>
    <t>بست</t>
  </si>
  <si>
    <t>8</t>
  </si>
  <si>
    <t>پیچ شش گوش</t>
  </si>
  <si>
    <t>M6x40</t>
  </si>
  <si>
    <t>9</t>
  </si>
  <si>
    <t>مهره</t>
  </si>
  <si>
    <t>M6</t>
  </si>
  <si>
    <t>Air Baffle</t>
  </si>
  <si>
    <t>-</t>
  </si>
  <si>
    <t>لوله رایزر</t>
  </si>
  <si>
    <t>درپوش رایزر</t>
  </si>
  <si>
    <t>سری افشانک</t>
  </si>
  <si>
    <t>بدنه افشانک</t>
  </si>
  <si>
    <t>بست استیل</t>
  </si>
  <si>
    <t>اورینگ فنجانی</t>
  </si>
  <si>
    <t>10</t>
  </si>
  <si>
    <t>11</t>
  </si>
  <si>
    <t>12</t>
  </si>
  <si>
    <t>M6x30</t>
  </si>
  <si>
    <t>5x50x500</t>
  </si>
  <si>
    <t>Nozzle Bank</t>
  </si>
  <si>
    <t>13</t>
  </si>
  <si>
    <t>14</t>
  </si>
  <si>
    <t>ناودانی عرضی داخل</t>
  </si>
  <si>
    <t>ناودانی طولی داخل</t>
  </si>
  <si>
    <t>ناودانی عرضی بیرون</t>
  </si>
  <si>
    <t>ناودانی طولی بیرون</t>
  </si>
  <si>
    <t>لولا</t>
  </si>
  <si>
    <t>Pumping</t>
  </si>
  <si>
    <t>15</t>
  </si>
  <si>
    <t>16</t>
  </si>
  <si>
    <t>17</t>
  </si>
  <si>
    <t>18</t>
  </si>
  <si>
    <t>19</t>
  </si>
  <si>
    <t>20</t>
  </si>
  <si>
    <t>الکترو موتور</t>
  </si>
  <si>
    <t>پمپ</t>
  </si>
  <si>
    <t>شاسی</t>
  </si>
  <si>
    <t>کوپلینگ</t>
  </si>
  <si>
    <t>M10</t>
  </si>
  <si>
    <t>3"</t>
  </si>
  <si>
    <t>21</t>
  </si>
  <si>
    <t>22</t>
  </si>
  <si>
    <t>23</t>
  </si>
  <si>
    <t>24</t>
  </si>
  <si>
    <t>دستگیره</t>
  </si>
  <si>
    <t>قاب عرضی</t>
  </si>
  <si>
    <t>قاب طولی</t>
  </si>
  <si>
    <t>رولپلاگ</t>
  </si>
  <si>
    <t>M8</t>
  </si>
  <si>
    <t>M8x25</t>
  </si>
  <si>
    <t>نبشی عرضی پایین 1</t>
  </si>
  <si>
    <t>پایه</t>
  </si>
  <si>
    <t>1.5x250x270</t>
  </si>
  <si>
    <t>مهره شش گوش</t>
  </si>
  <si>
    <t>نردبانی</t>
  </si>
  <si>
    <t>نبشی نردبانی</t>
  </si>
  <si>
    <t>رابط نردبانی</t>
  </si>
  <si>
    <t>1.5x77x270</t>
  </si>
  <si>
    <t>نبشی عرضی بالا 1</t>
  </si>
  <si>
    <t>درزگیر</t>
  </si>
  <si>
    <t>M6x10</t>
  </si>
  <si>
    <t>فلنج تخلیه</t>
  </si>
  <si>
    <t>مهره سش گوش</t>
  </si>
  <si>
    <t>M6x15</t>
  </si>
  <si>
    <t>پیچ دو سو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</si>
  <si>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</si>
  <si>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</si>
  <si>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</si>
  <si>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</si>
  <si>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</si>
  <si>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</si>
  <si>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</si>
  <si>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1.5x97x2500</t>
  </si>
  <si>
    <t>1.5x136x2500</t>
  </si>
  <si>
    <t>Eliminator</t>
  </si>
  <si>
    <t>L=1923</t>
  </si>
  <si>
    <t>لوله کلکتور</t>
  </si>
  <si>
    <t>درپوش کلکتور</t>
  </si>
  <si>
    <t>فلنج جوشی کلکتور</t>
  </si>
  <si>
    <t>فلنج فلزی</t>
  </si>
  <si>
    <t>8x210x210</t>
  </si>
  <si>
    <t>فنجانی کلکتور</t>
  </si>
  <si>
    <t>درپوش فنجانی</t>
  </si>
  <si>
    <t>بوش  رایزر</t>
  </si>
  <si>
    <t>واشر آب بند</t>
  </si>
  <si>
    <t>ناودانی افشانک</t>
  </si>
  <si>
    <t>بست شکلاتی</t>
  </si>
  <si>
    <t>نبشی رایزر</t>
  </si>
  <si>
    <t>Ø90x2432</t>
  </si>
  <si>
    <t>1.5x88x2500</t>
  </si>
  <si>
    <t>V. Door</t>
  </si>
  <si>
    <t>در بزرگ</t>
  </si>
  <si>
    <t>1.2x836x2155</t>
  </si>
  <si>
    <t>در کوچک</t>
  </si>
  <si>
    <t>1.2x812x2109</t>
  </si>
  <si>
    <t>ناودانی تقویتی</t>
  </si>
  <si>
    <t>1.5x140x695</t>
  </si>
  <si>
    <t>2.9x40x40x800</t>
  </si>
  <si>
    <t>2.9x40x40x2100</t>
  </si>
  <si>
    <t>بوش دستگیره</t>
  </si>
  <si>
    <t>3/4" L=55</t>
  </si>
  <si>
    <t>لولا (نری)</t>
  </si>
  <si>
    <t>Ø12x100</t>
  </si>
  <si>
    <t>لولا (مادگی)</t>
  </si>
  <si>
    <t>15x20x50</t>
  </si>
  <si>
    <t>صفحه لولا (1)</t>
  </si>
  <si>
    <t>5x140x50</t>
  </si>
  <si>
    <t>صفحه لولا (2)</t>
  </si>
  <si>
    <t>5x90x50</t>
  </si>
  <si>
    <t>M8x70</t>
  </si>
  <si>
    <t>پیچ سر آلن</t>
  </si>
  <si>
    <t>سیخک</t>
  </si>
  <si>
    <t>2.9x40x40x150</t>
  </si>
  <si>
    <t>فوم</t>
  </si>
  <si>
    <t>طلق</t>
  </si>
  <si>
    <t>3x200x500</t>
  </si>
  <si>
    <t>نوار درزگیر</t>
  </si>
  <si>
    <t>L=2500</t>
  </si>
  <si>
    <t>مغزی نوار درزگیر</t>
  </si>
  <si>
    <t>10x30x6000</t>
  </si>
  <si>
    <t>لاستیک اسفنجی</t>
  </si>
  <si>
    <t>40x800x2000</t>
  </si>
  <si>
    <t>مهره کاسه نمد دار</t>
  </si>
  <si>
    <t>U-140x6000</t>
  </si>
  <si>
    <t>الکترو
پمپ</t>
  </si>
  <si>
    <t>صفحه ریل</t>
  </si>
  <si>
    <t>2x170x600</t>
  </si>
  <si>
    <t>نبشی ریل</t>
  </si>
  <si>
    <t>1.5x27x600</t>
  </si>
  <si>
    <t>نبشی عرضی داخل</t>
  </si>
  <si>
    <t>نبشی طولی داخل</t>
  </si>
  <si>
    <t>1.5x40x590</t>
  </si>
  <si>
    <t>نبشی عرضی بیرون</t>
  </si>
  <si>
    <t>نبشی طولی بیرون</t>
  </si>
  <si>
    <t>2x43x597</t>
  </si>
  <si>
    <t xml:space="preserve">توری </t>
  </si>
  <si>
    <t>Ø8x250</t>
  </si>
  <si>
    <t>تسمه تقویتی بیرون</t>
  </si>
  <si>
    <t>2x30x538</t>
  </si>
  <si>
    <t>تسمه تقویتی داخل</t>
  </si>
  <si>
    <t>1/5x30x538</t>
  </si>
  <si>
    <t>S.W.F</t>
  </si>
  <si>
    <t>1.5x40x880</t>
  </si>
  <si>
    <t>2x43x887</t>
  </si>
  <si>
    <t>600x900</t>
  </si>
  <si>
    <t>ریل</t>
  </si>
  <si>
    <t>قاب</t>
  </si>
  <si>
    <t>نبشی قاب عرضی</t>
  </si>
  <si>
    <t>ناودانی قاب طولی</t>
  </si>
  <si>
    <t>تیوب شیت</t>
  </si>
  <si>
    <t>تیوب</t>
  </si>
  <si>
    <t>کلکتور</t>
  </si>
  <si>
    <t>4x70x142</t>
  </si>
  <si>
    <t>فلنج گلویی جوشی</t>
  </si>
  <si>
    <t>نبشی اتصال</t>
  </si>
  <si>
    <t>50x50x80</t>
  </si>
  <si>
    <t>4x95x1052</t>
  </si>
  <si>
    <t>4x203x1052</t>
  </si>
  <si>
    <t>1"</t>
  </si>
  <si>
    <t>1" L=100</t>
  </si>
  <si>
    <t>6x155x1052</t>
  </si>
  <si>
    <t>Coil</t>
  </si>
  <si>
    <t>کویل</t>
  </si>
  <si>
    <t>Damper</t>
  </si>
  <si>
    <t>قاب عرض دمپر</t>
  </si>
  <si>
    <t>قاب طولی دمپر</t>
  </si>
  <si>
    <t>تیرک</t>
  </si>
  <si>
    <t>نوار دمپر</t>
  </si>
  <si>
    <t>بادامک</t>
  </si>
  <si>
    <t>فشنگی</t>
  </si>
  <si>
    <t>واسطه 4 گوش</t>
  </si>
  <si>
    <t>گوشک</t>
  </si>
  <si>
    <t>بوش تفلون</t>
  </si>
  <si>
    <t>بازو بزرگ</t>
  </si>
  <si>
    <t>بازو کوچک</t>
  </si>
  <si>
    <t>واشر</t>
  </si>
  <si>
    <t>اشپیل</t>
  </si>
  <si>
    <t>نبشی اتصال قاب</t>
  </si>
  <si>
    <t>پیچ آلن مخروطی</t>
  </si>
  <si>
    <t>مهره 4 گوش</t>
  </si>
  <si>
    <t>توری دمپر</t>
  </si>
  <si>
    <t>نبشی توری دمپر</t>
  </si>
  <si>
    <t>تسمه توری دمپر</t>
  </si>
  <si>
    <t>1/5x370x1967</t>
  </si>
  <si>
    <t>A12</t>
  </si>
  <si>
    <t>2/6x30</t>
  </si>
  <si>
    <t>2x50x260</t>
  </si>
  <si>
    <t>M10x15</t>
  </si>
  <si>
    <t>1000x1967</t>
  </si>
  <si>
    <t>4x45x6968</t>
  </si>
  <si>
    <t>1/5x30x6968</t>
  </si>
  <si>
    <t>دمپر</t>
  </si>
  <si>
    <t>رینگ</t>
  </si>
  <si>
    <t>مخروطی</t>
  </si>
  <si>
    <t>فلنج</t>
  </si>
  <si>
    <t xml:space="preserve">پایه </t>
  </si>
  <si>
    <t>صفحه</t>
  </si>
  <si>
    <t>ورق اتصال پایه به بدنه</t>
  </si>
  <si>
    <t>3x365x3518</t>
  </si>
  <si>
    <t>2/5x1250x350</t>
  </si>
  <si>
    <t>4x1000x280</t>
  </si>
  <si>
    <t>M16x40</t>
  </si>
  <si>
    <t>8x440x710</t>
  </si>
  <si>
    <t>3x160x160</t>
  </si>
  <si>
    <t>8x160x160</t>
  </si>
  <si>
    <t>8x500x580</t>
  </si>
  <si>
    <t>Fan Case</t>
  </si>
  <si>
    <t>Insurment</t>
  </si>
  <si>
    <t>سنسور دما</t>
  </si>
  <si>
    <t>سنسور رطوبت</t>
  </si>
  <si>
    <t>میکروسوییچ</t>
  </si>
  <si>
    <t>دمپر موتور</t>
  </si>
  <si>
    <t>05</t>
  </si>
  <si>
    <t>01</t>
  </si>
  <si>
    <t xml:space="preserve"> Stand</t>
  </si>
  <si>
    <t>Stand</t>
  </si>
  <si>
    <t>صفحه اتصال پایه</t>
  </si>
  <si>
    <t>5x170x340</t>
  </si>
  <si>
    <t>02</t>
  </si>
  <si>
    <t>قوطی پایه</t>
  </si>
  <si>
    <t>70*70,L=1500</t>
  </si>
  <si>
    <t>03</t>
  </si>
  <si>
    <t>درپوش قوطی پایه</t>
  </si>
  <si>
    <t>4x70x70</t>
  </si>
  <si>
    <t>صفحه زیر پایه</t>
  </si>
  <si>
    <t>8x300x300</t>
  </si>
  <si>
    <t>اتصالات</t>
  </si>
  <si>
    <t xml:space="preserve">پیچ </t>
  </si>
  <si>
    <t>M8x80</t>
  </si>
  <si>
    <t>8x80</t>
  </si>
  <si>
    <t>Casing 3400</t>
  </si>
  <si>
    <t>بدنه جاروب</t>
  </si>
  <si>
    <t>نبشی طولی</t>
  </si>
  <si>
    <t>30x30,L=340</t>
  </si>
  <si>
    <t>نبشی عرضی</t>
  </si>
  <si>
    <t>30x30,L=110</t>
  </si>
  <si>
    <t>بدنه طولی</t>
  </si>
  <si>
    <t>2x278x1700</t>
  </si>
  <si>
    <t>ریل جاروب</t>
  </si>
  <si>
    <t>2x90x280</t>
  </si>
  <si>
    <t>رابط ناودانی تقویتی</t>
  </si>
  <si>
    <t>3x50x170</t>
  </si>
  <si>
    <t>لاستیک درزگیر</t>
  </si>
  <si>
    <t>3x40x1700</t>
  </si>
  <si>
    <t>تسمه نگهدارنده لاستیک درزگیر</t>
  </si>
  <si>
    <t>1.5x30x1700</t>
  </si>
  <si>
    <t>پرچ آلومینیومی</t>
  </si>
  <si>
    <t>4x10</t>
  </si>
  <si>
    <t>در جاروب</t>
  </si>
  <si>
    <t>1.5x375x1700</t>
  </si>
  <si>
    <t>پیچ در چاروب</t>
  </si>
  <si>
    <t>M1/4x15</t>
  </si>
  <si>
    <t>مهره در جاروب</t>
  </si>
  <si>
    <t xml:space="preserve">M1/4 </t>
  </si>
  <si>
    <t>باکس الکتروموتور</t>
  </si>
  <si>
    <t>باکس الکترو موتور</t>
  </si>
  <si>
    <t>2x250x1200</t>
  </si>
  <si>
    <t>درب باکس الکترو موتور</t>
  </si>
  <si>
    <t>2x140x240</t>
  </si>
  <si>
    <t>صفحه انتهایی باکس الکترو موتور</t>
  </si>
  <si>
    <t>3x170x340</t>
  </si>
  <si>
    <t>پیچ در باکس الکتروموتور</t>
  </si>
  <si>
    <t>مهره در باکس الکتروموتور</t>
  </si>
  <si>
    <t>بسته پیچ و اتصالات</t>
  </si>
  <si>
    <t>پیچ اتصال تکه ها</t>
  </si>
  <si>
    <t>M8x20</t>
  </si>
  <si>
    <t>مهره اتصال تکه ها</t>
  </si>
  <si>
    <t>پیچ رابط ناودانی</t>
  </si>
  <si>
    <t>M8x30</t>
  </si>
  <si>
    <t>Tractor</t>
  </si>
  <si>
    <t>واگن اول</t>
  </si>
  <si>
    <t>صفحه کشنده</t>
  </si>
  <si>
    <t>3x200x300</t>
  </si>
  <si>
    <t>نبشی صفحه کشنده</t>
  </si>
  <si>
    <t>30x30, L=30</t>
  </si>
  <si>
    <t>صفحه زیر واگن اول</t>
  </si>
  <si>
    <t>2x260x300</t>
  </si>
  <si>
    <t>صفحه روی واگن اول</t>
  </si>
  <si>
    <t>2x100x300</t>
  </si>
  <si>
    <t>لوله رابط صفحات واگن اول</t>
  </si>
  <si>
    <t>چرخ واگن اول</t>
  </si>
  <si>
    <t>بلبرینگ چرخ واگن</t>
  </si>
  <si>
    <t>6000z</t>
  </si>
  <si>
    <t xml:space="preserve">پیچ چرخ واگن </t>
  </si>
  <si>
    <t>M10x60</t>
  </si>
  <si>
    <t>مهره چرخ واگن</t>
  </si>
  <si>
    <t>واشر چرخ واگن</t>
  </si>
  <si>
    <t>A10</t>
  </si>
  <si>
    <t>واگن دوم</t>
  </si>
  <si>
    <t>صفحه زیر واگن دوم</t>
  </si>
  <si>
    <t>صفحه روی واگن دوم</t>
  </si>
  <si>
    <t>لوله رابط صفحات واگن دوم</t>
  </si>
  <si>
    <t>چرخ واگن دوم</t>
  </si>
  <si>
    <t>ناودانی اتصال واگن</t>
  </si>
  <si>
    <t>2x120x1700</t>
  </si>
  <si>
    <t>پیچ اتصال واگن</t>
  </si>
  <si>
    <t>مهره اتصال واگن</t>
  </si>
  <si>
    <t xml:space="preserve">M1/4  </t>
  </si>
  <si>
    <t>04</t>
  </si>
  <si>
    <t>Driver</t>
  </si>
  <si>
    <t>چرخدنده متحرک</t>
  </si>
  <si>
    <t>خورشیدی چرخدنده متحرک</t>
  </si>
  <si>
    <t>شفت چرخدنده متحرک</t>
  </si>
  <si>
    <t>بلبرینگ چرخدنده متحرک</t>
  </si>
  <si>
    <t>6000zz</t>
  </si>
  <si>
    <t>مهره چرخدنده متحرک</t>
  </si>
  <si>
    <t>واشر چرخدنده متحرک</t>
  </si>
  <si>
    <t>چرخدنده ثابت</t>
  </si>
  <si>
    <t>خورشیدی چرخدنده ثابت</t>
  </si>
  <si>
    <t>Ø80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</si>
  <si>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</si>
  <si>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</si>
  <si>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</si>
  <si>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</si>
  <si>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</si>
  <si>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</si>
  <si>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</si>
  <si>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</si>
  <si>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</si>
  <si>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خار شفت الکتروگیربکس</t>
  </si>
  <si>
    <t>6x6x90</t>
  </si>
  <si>
    <t>6x6x50</t>
  </si>
  <si>
    <t>مجموعه الکتروگیربکس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</si>
  <si>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</si>
  <si>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</si>
  <si>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</si>
  <si>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</si>
  <si>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</si>
  <si>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</si>
  <si>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</t>
  </si>
  <si>
    <t>زنجیر40</t>
  </si>
  <si>
    <t>تفلونی زنجیر</t>
  </si>
  <si>
    <t>40x40x40</t>
  </si>
  <si>
    <t>صفحه تفلونی</t>
  </si>
  <si>
    <t>2x10x10</t>
  </si>
  <si>
    <t>پیچ تفلونی</t>
  </si>
  <si>
    <t>06</t>
  </si>
  <si>
    <t>Casing</t>
  </si>
  <si>
    <t>قاب بالایی داست کالکتور</t>
  </si>
  <si>
    <t>قاب بالایی</t>
  </si>
  <si>
    <t>2x500x1800</t>
  </si>
  <si>
    <t>استوانه قاب بالایی</t>
  </si>
  <si>
    <t>2x75x1100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</si>
  <si>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</si>
  <si>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</si>
  <si>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</si>
  <si>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</si>
  <si>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</si>
  <si>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</si>
  <si>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</si>
  <si>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</si>
  <si>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</si>
  <si>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</si>
  <si>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</si>
  <si>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</si>
  <si>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</si>
  <si>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</si>
  <si>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</si>
  <si>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</si>
  <si>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</si>
  <si>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</si>
  <si>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</si>
  <si>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</si>
  <si>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2x150x1100</t>
  </si>
  <si>
    <t>بسته اتصالات</t>
  </si>
  <si>
    <t>پیچ رولپلاگ</t>
  </si>
  <si>
    <t>کیسه یک سر باز</t>
  </si>
  <si>
    <t>Ø350</t>
  </si>
  <si>
    <t>کیسه دو سر باز</t>
  </si>
  <si>
    <t>بست کیسه داست کالکتور</t>
  </si>
  <si>
    <t>Fan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</si>
  <si>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</si>
  <si>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</si>
  <si>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</si>
  <si>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</si>
  <si>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</si>
  <si>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</si>
  <si>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</si>
  <si>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</si>
  <si>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</si>
  <si>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</si>
  <si>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</si>
  <si>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</si>
  <si>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</si>
  <si>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</si>
  <si>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</si>
  <si>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واشر فنری پایه</t>
  </si>
  <si>
    <t>A8</t>
  </si>
  <si>
    <t>مهره بدنه فن حلزونی</t>
  </si>
  <si>
    <t>واشر فنری بدنه فن حلزونی</t>
  </si>
  <si>
    <t>مهره پایه فن حلزونی</t>
  </si>
  <si>
    <t>میخ پرچ</t>
  </si>
  <si>
    <t>M5x10</t>
  </si>
  <si>
    <t>بوش روی سر پره فن</t>
  </si>
  <si>
    <r>
      <t>Ø</t>
    </r>
    <r>
      <rPr>
        <sz val="11.5"/>
        <rFont val="Times New Roman"/>
        <family val="1"/>
      </rPr>
      <t>60,L=50</t>
    </r>
  </si>
  <si>
    <t>پره فن حلزونی</t>
  </si>
  <si>
    <t>پره آلومنیومی</t>
  </si>
  <si>
    <t>پیچ نگه دارنده الکترو موتور</t>
  </si>
  <si>
    <t>M12x35</t>
  </si>
  <si>
    <t>مهره کاسه نمددار نگه دارنده موتور</t>
  </si>
  <si>
    <t>پیچ آلن سر الکتروموتور</t>
  </si>
  <si>
    <t>M8x50</t>
  </si>
  <si>
    <t>واشر فنری سر الکتروموتور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</si>
  <si>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</si>
  <si>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</si>
  <si>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</si>
  <si>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</si>
  <si>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</si>
  <si>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</si>
  <si>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</si>
  <si>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</si>
  <si>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</si>
  <si>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پیچ اتصال دیفیوزر به بدنه</t>
  </si>
  <si>
    <t>M6x20</t>
  </si>
  <si>
    <t>25</t>
  </si>
  <si>
    <t>واشر فنری دیفیوزر</t>
  </si>
  <si>
    <t>26</t>
  </si>
  <si>
    <t xml:space="preserve">پیچ رولپلاگ </t>
  </si>
  <si>
    <t>27</t>
  </si>
  <si>
    <t>Nozzle Pack</t>
  </si>
  <si>
    <t>ناودانی نگهدارنده نازل مکش</t>
  </si>
  <si>
    <t>نازل مکش</t>
  </si>
  <si>
    <t>لوله نازل مکش</t>
  </si>
  <si>
    <t>Ø110,L=300</t>
  </si>
  <si>
    <t>سری نازل مکش</t>
  </si>
  <si>
    <t>Ø110,L=150</t>
  </si>
  <si>
    <t>قاب نازل مکش</t>
  </si>
  <si>
    <t>2x150x150</t>
  </si>
  <si>
    <t>حلقه نازل مکش</t>
  </si>
  <si>
    <t>2x20x200</t>
  </si>
  <si>
    <t>دستگیره نازل مکش</t>
  </si>
  <si>
    <t>2x25x350</t>
  </si>
  <si>
    <t>پیچ دستگیره نازل مکش</t>
  </si>
  <si>
    <t>M8*15</t>
  </si>
  <si>
    <t>مهره دستگیره نازل مکش</t>
  </si>
  <si>
    <t>پیچ اتصال نازل مکش</t>
  </si>
  <si>
    <t>M1/4x10</t>
  </si>
  <si>
    <t>مهره اتصال نازل مکش</t>
  </si>
  <si>
    <t>M1/4</t>
  </si>
  <si>
    <t>هرزگرد</t>
  </si>
  <si>
    <t>لوله PVC هرزگرد</t>
  </si>
  <si>
    <t>لوله فلزی هرزگرد</t>
  </si>
  <si>
    <t xml:space="preserve">لوله خرطومی </t>
  </si>
  <si>
    <t>Ø110,L=3000</t>
  </si>
  <si>
    <t>بست کمربندی لوله خرطومی</t>
  </si>
  <si>
    <t>Ø110</t>
  </si>
  <si>
    <t>پایه نگهدارنده لوله خرطومی</t>
  </si>
  <si>
    <t>صفحه اتصال پایه نگهدارنده لوله خرطومی</t>
  </si>
  <si>
    <t>3x150x340</t>
  </si>
  <si>
    <t>بست روی لوله خرطومی</t>
  </si>
  <si>
    <t>2x20x280</t>
  </si>
  <si>
    <t>لوله پایه نگهدارنده لوله خرطومی</t>
  </si>
  <si>
    <t>Ø32,L=1500</t>
  </si>
  <si>
    <t>صفحه زیر پایه نگهدارنده لوله خرطومی</t>
  </si>
  <si>
    <t>5x100x200</t>
  </si>
  <si>
    <t>نوع محصول</t>
  </si>
  <si>
    <t>بدنه روتاری هوا</t>
  </si>
  <si>
    <t>توری پانچی</t>
  </si>
  <si>
    <t>1.5x840x1570</t>
  </si>
  <si>
    <t>Kg</t>
  </si>
  <si>
    <t>ناودانی بدنه</t>
  </si>
  <si>
    <t>4x121x1900</t>
  </si>
  <si>
    <t>نبشی بدنه</t>
  </si>
  <si>
    <t>4x73x1570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</si>
  <si>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</si>
  <si>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</si>
  <si>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</si>
  <si>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</si>
  <si>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</si>
  <si>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</si>
  <si>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</si>
  <si>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</si>
  <si>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</si>
  <si>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</si>
  <si>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</si>
  <si>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</si>
  <si>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</si>
  <si>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</si>
  <si>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</si>
  <si>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</si>
  <si>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</si>
  <si>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</si>
  <si>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</si>
  <si>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</si>
  <si>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</si>
  <si>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</si>
  <si>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</si>
  <si>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</si>
  <si>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</si>
  <si>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</si>
  <si>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</si>
  <si>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</si>
  <si>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</si>
  <si>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</si>
  <si>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</si>
  <si>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</si>
  <si>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</si>
  <si>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</si>
  <si>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</si>
  <si>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</si>
  <si>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</si>
  <si>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</si>
  <si>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</si>
  <si>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</si>
  <si>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</si>
  <si>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</si>
  <si>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</si>
  <si>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</si>
  <si>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</si>
  <si>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 xml:space="preserve">M8 </t>
  </si>
  <si>
    <t>پیچ اتصال کپه ها</t>
  </si>
  <si>
    <t>مهره اتصال کپه ها</t>
  </si>
  <si>
    <t>واشر فنری اتصال کپه ها</t>
  </si>
  <si>
    <t>M10x30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</si>
  <si>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</si>
  <si>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</si>
  <si>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</si>
  <si>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</si>
  <si>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</si>
  <si>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</si>
  <si>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</si>
  <si>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</si>
  <si>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</si>
  <si>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</si>
  <si>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</si>
  <si>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</si>
  <si>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</si>
  <si>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10x440x440</t>
  </si>
  <si>
    <t>ناودانی پایه</t>
  </si>
  <si>
    <t>تقویتی پایه</t>
  </si>
  <si>
    <t>8x155x155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</si>
  <si>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</si>
  <si>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</si>
  <si>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</si>
  <si>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</si>
  <si>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</si>
  <si>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</si>
  <si>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</si>
  <si>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</si>
  <si>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</si>
  <si>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</si>
  <si>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</si>
  <si>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</si>
  <si>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</si>
  <si>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</si>
  <si>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</si>
  <si>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</si>
  <si>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</si>
  <si>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</si>
  <si>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</si>
  <si>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</si>
  <si>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نبشی هرزگزد</t>
  </si>
  <si>
    <t>نبشی نگهدارنده صفحه موتور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</si>
  <si>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</si>
  <si>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</si>
  <si>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</si>
  <si>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</si>
  <si>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</si>
  <si>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</si>
  <si>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</si>
  <si>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</si>
  <si>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</si>
  <si>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</si>
  <si>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</si>
  <si>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</si>
  <si>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</si>
  <si>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</si>
  <si>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</si>
  <si>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</si>
  <si>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</si>
  <si>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مهره سر میل پیچ</t>
  </si>
  <si>
    <t>M16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</si>
  <si>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</si>
  <si>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</si>
  <si>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</si>
  <si>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</si>
  <si>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</si>
  <si>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</si>
  <si>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</si>
  <si>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</si>
  <si>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</si>
  <si>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</si>
  <si>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</si>
  <si>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</si>
  <si>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</si>
  <si>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</si>
  <si>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</si>
  <si>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</si>
  <si>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</si>
  <si>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</si>
  <si>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</si>
  <si>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</si>
  <si>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</si>
  <si>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</si>
  <si>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</si>
  <si>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</si>
  <si>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</si>
  <si>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</si>
  <si>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</si>
  <si>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</si>
  <si>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</si>
  <si>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</si>
  <si>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</si>
  <si>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</si>
  <si>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</si>
  <si>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</si>
  <si>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</si>
  <si>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</si>
  <si>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</si>
  <si>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</si>
  <si>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</si>
  <si>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</si>
  <si>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</si>
  <si>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</si>
  <si>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</si>
  <si>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</si>
  <si>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</si>
  <si>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</si>
  <si>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</si>
  <si>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</si>
  <si>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</si>
  <si>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</si>
  <si>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</si>
  <si>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</si>
  <si>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</si>
  <si>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</si>
  <si>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</si>
  <si>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</si>
  <si>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</si>
  <si>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6*6*100</t>
  </si>
  <si>
    <t>20 N.m.</t>
  </si>
  <si>
    <t>1/5x88x2500</t>
  </si>
  <si>
    <t>1/5x88x600</t>
  </si>
  <si>
    <t>1/5x88x900</t>
  </si>
  <si>
    <t>رایزر</t>
  </si>
  <si>
    <t>در تهویه</t>
  </si>
  <si>
    <t>1/5x84x2495</t>
  </si>
  <si>
    <t>1.5x97x2522</t>
  </si>
  <si>
    <t>1.5x97x2448</t>
  </si>
  <si>
    <t>Ø40x2400</t>
  </si>
  <si>
    <t>EN-65/160</t>
  </si>
  <si>
    <t>15Kw-2900rpm</t>
  </si>
  <si>
    <t>4x355x1824</t>
  </si>
  <si>
    <t>1/2" L=1874</t>
  </si>
  <si>
    <t>1/5x370x1824</t>
  </si>
  <si>
    <t>1/5x290x1824</t>
  </si>
  <si>
    <t>2x70x1824</t>
  </si>
  <si>
    <t>18/5Kw-1400rpm</t>
  </si>
  <si>
    <t>22Kw-1400rpm</t>
  </si>
  <si>
    <t>مقدار
خالص</t>
  </si>
  <si>
    <t>Ø12,L=1700</t>
  </si>
  <si>
    <t>Ø22,L=40</t>
  </si>
  <si>
    <t>Ø65,L=15</t>
  </si>
  <si>
    <t>Ø18,L=40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</si>
</sst>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8"/>
      <color theme="1"/>
      <name val="Times New Roman"/>
      <family val="1"/>
      <scheme val="major"/>
    </font>
    <font>
      <sz val="8"/>
      <name val="Times New Roman"/>
      <family val="1"/>
      <scheme val="major"/>
    </font>
    <font>
      <sz val="6"/>
      <name val="Times New Roman"/>
      <family val="1"/>
      <scheme val="major"/>
    </font>
    <font>
      <sz val="7"/>
      <name val="Times New Roman"/>
      <family val="1"/>
      <scheme val="maj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theme="1"/>
      <name val="B Nazanin"/>
      <charset val="178"/>
    </font>
    <font>
      <sz val="9"/>
      <name val="Times New Roman"/>
      <family val="1"/>
    </font>
    <font>
      <sz val="10"/>
      <name val="B Nazanin"/>
      <charset val="178"/>
    </font>
    <font>
      <sz val="8"/>
      <color theme="1"/>
      <name val="Arial"/>
      <family val="2"/>
      <scheme val="minor"/>
    </font>
    <font>
      <sz val="10"/>
      <color theme="1"/>
      <name val="B Nazanin"/>
      <charset val="178"/>
    </font>
    <font>
      <sz val="9"/>
      <color theme="1"/>
      <name val="Times New Roman"/>
      <family val="1"/>
    </font>
    <font>
      <sz val="11.5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2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49" fontId="4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2" fillId="0" borderId="10" xfId="0" quotePrefix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/>
    <xf numFmtId="0" fontId="13" fillId="0" borderId="14" xfId="0" quotePrefix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0" xfId="0" quotePrefix="1" applyFont="1" applyFill="1" applyBorder="1" applyAlignment="1">
      <alignment horizontal="center" vertical="center"/>
    </xf>
    <xf numFmtId="49" fontId="17" fillId="0" borderId="15" xfId="0" quotePrefix="1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13" fillId="0" borderId="15" xfId="0" quotePrefix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/>
    </xf>
    <xf numFmtId="0" fontId="0" fillId="0" borderId="7" xfId="0" applyBorder="1"/>
    <xf numFmtId="1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4" fillId="0" borderId="0" xfId="0" quotePrefix="1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17" fillId="0" borderId="0" xfId="0" quotePrefix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24" fillId="0" borderId="10" xfId="0" applyNumberFormat="1" applyFont="1" applyFill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20" fillId="0" borderId="14" xfId="0" applyNumberFormat="1" applyFont="1" applyFill="1" applyBorder="1" applyAlignment="1">
      <alignment horizontal="center" vertical="center"/>
    </xf>
    <xf numFmtId="1" fontId="24" fillId="0" borderId="14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13" fillId="0" borderId="10" xfId="0" quotePrefix="1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24" fillId="0" borderId="14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15" fillId="0" borderId="7" xfId="0" applyNumberFormat="1" applyFont="1" applyFill="1" applyBorder="1" applyAlignment="1">
      <alignment horizontal="center" vertical="center" wrapText="1"/>
    </xf>
    <xf numFmtId="1" fontId="24" fillId="0" borderId="7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4" fillId="0" borderId="15" xfId="0" quotePrefix="1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16" fillId="0" borderId="15" xfId="0" quotePrefix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" fontId="0" fillId="0" borderId="0" xfId="0" applyNumberFormat="1"/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" fontId="17" fillId="0" borderId="8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2" xfId="0" quotePrefix="1" applyFont="1" applyFill="1" applyBorder="1" applyAlignment="1">
      <alignment horizontal="center" vertical="center"/>
    </xf>
    <xf numFmtId="1" fontId="17" fillId="0" borderId="12" xfId="0" applyNumberFormat="1" applyFont="1" applyFill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7" fillId="0" borderId="6" xfId="0" applyNumberFormat="1" applyFont="1" applyFill="1" applyBorder="1" applyAlignment="1">
      <alignment horizontal="center" vertical="center"/>
    </xf>
    <xf numFmtId="0" fontId="17" fillId="0" borderId="7" xfId="0" quotePrefix="1" applyFont="1" applyFill="1" applyBorder="1" applyAlignment="1">
      <alignment horizontal="center" vertical="center"/>
    </xf>
    <xf numFmtId="1" fontId="17" fillId="0" borderId="7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0" xfId="0" quotePrefix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center" wrapText="1"/>
    </xf>
    <xf numFmtId="2" fontId="8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2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2" fontId="4" fillId="0" borderId="8" xfId="0" quotePrefix="1" applyNumberFormat="1" applyFont="1" applyFill="1" applyBorder="1" applyAlignment="1">
      <alignment horizontal="center" vertical="center" wrapText="1"/>
    </xf>
    <xf numFmtId="2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2" fontId="4" fillId="0" borderId="6" xfId="0" quotePrefix="1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8" fillId="0" borderId="6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2" fontId="5" fillId="0" borderId="6" xfId="0" quotePrefix="1" applyNumberFormat="1" applyFont="1" applyBorder="1" applyAlignment="1">
      <alignment horizontal="center" vertical="center"/>
    </xf>
    <xf numFmtId="2" fontId="5" fillId="0" borderId="8" xfId="0" quotePrefix="1" applyNumberFormat="1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1" fontId="5" fillId="0" borderId="8" xfId="0" quotePrefix="1" applyNumberFormat="1" applyFont="1" applyBorder="1" applyAlignment="1">
      <alignment horizontal="center" vertical="center"/>
    </xf>
    <xf numFmtId="1" fontId="5" fillId="0" borderId="7" xfId="0" quotePrefix="1" applyNumberFormat="1" applyFont="1" applyBorder="1" applyAlignment="1">
      <alignment horizontal="center" vertical="center"/>
    </xf>
    <xf numFmtId="49" fontId="4" fillId="0" borderId="14" xfId="0" quotePrefix="1" applyNumberFormat="1" applyFont="1" applyFill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7" fillId="0" borderId="14" xfId="0" quotePrefix="1" applyNumberFormat="1" applyFont="1" applyFill="1" applyBorder="1" applyAlignment="1">
      <alignment horizontal="center" vertical="center"/>
    </xf>
    <xf numFmtId="49" fontId="17" fillId="0" borderId="10" xfId="0" quotePrefix="1" applyNumberFormat="1" applyFont="1" applyFill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8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1" fontId="4" fillId="0" borderId="14" xfId="0" quotePrefix="1" applyNumberFormat="1" applyFont="1" applyFill="1" applyBorder="1" applyAlignment="1">
      <alignment horizontal="center" vertical="center" wrapText="1"/>
    </xf>
    <xf numFmtId="1" fontId="4" fillId="0" borderId="10" xfId="0" quotePrefix="1" applyNumberFormat="1" applyFont="1" applyFill="1" applyBorder="1" applyAlignment="1">
      <alignment horizontal="center" vertical="center" wrapText="1"/>
    </xf>
    <xf numFmtId="49" fontId="4" fillId="0" borderId="13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13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2" xfId="0" quotePrefix="1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12" xfId="0" applyNumberFormat="1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10" fillId="0" borderId="6" xfId="0" quotePrefix="1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center" vertical="center" wrapText="1"/>
    </xf>
    <xf numFmtId="0" fontId="10" fillId="0" borderId="7" xfId="0" quotePrefix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49" fontId="26" fillId="0" borderId="1" xfId="0" quotePrefix="1" applyNumberFormat="1" applyFont="1" applyFill="1" applyBorder="1" applyAlignment="1">
      <alignment horizontal="center" vertical="center" wrapText="1"/>
    </xf>
    <xf numFmtId="2" fontId="26" fillId="0" borderId="1" xfId="0" quotePrefix="1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0" fontId="28" fillId="0" borderId="1" xfId="0" quotePrefix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26" fillId="0" borderId="6" xfId="0" quotePrefix="1" applyNumberFormat="1" applyFont="1" applyFill="1" applyBorder="1" applyAlignment="1">
      <alignment horizontal="center" vertical="center" wrapText="1"/>
    </xf>
    <xf numFmtId="2" fontId="26" fillId="0" borderId="6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1" fontId="10" fillId="0" borderId="1" xfId="0" quotePrefix="1" applyNumberFormat="1" applyFont="1" applyFill="1" applyBorder="1" applyAlignment="1">
      <alignment horizontal="center" vertical="center" wrapText="1"/>
    </xf>
    <xf numFmtId="2" fontId="10" fillId="0" borderId="1" xfId="0" quotePrefix="1" applyNumberFormat="1" applyFont="1" applyFill="1" applyBorder="1" applyAlignment="1">
      <alignment horizontal="center" vertical="center" wrapText="1"/>
    </xf>
    <xf numFmtId="49" fontId="26" fillId="0" borderId="8" xfId="0" quotePrefix="1" applyNumberFormat="1" applyFont="1" applyFill="1" applyBorder="1" applyAlignment="1">
      <alignment horizontal="center" vertical="center" wrapText="1"/>
    </xf>
    <xf numFmtId="2" fontId="26" fillId="0" borderId="8" xfId="0" quotePrefix="1" applyNumberFormat="1" applyFont="1" applyFill="1" applyBorder="1" applyAlignment="1">
      <alignment horizontal="center" vertical="center" wrapText="1"/>
    </xf>
    <xf numFmtId="0" fontId="28" fillId="5" borderId="1" xfId="0" quotePrefix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26" fillId="0" borderId="7" xfId="0" quotePrefix="1" applyNumberFormat="1" applyFont="1" applyFill="1" applyBorder="1" applyAlignment="1">
      <alignment horizontal="center" vertical="center" wrapText="1"/>
    </xf>
    <xf numFmtId="2" fontId="26" fillId="0" borderId="7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2" fontId="10" fillId="0" borderId="1" xfId="0" quotePrefix="1" applyNumberFormat="1" applyFont="1" applyFill="1" applyBorder="1" applyAlignment="1">
      <alignment horizontal="center" vertical="center" wrapText="1"/>
    </xf>
    <xf numFmtId="49" fontId="26" fillId="0" borderId="10" xfId="0" quotePrefix="1" applyNumberFormat="1" applyFont="1" applyFill="1" applyBorder="1" applyAlignment="1">
      <alignment horizontal="center" vertical="center" wrapText="1"/>
    </xf>
    <xf numFmtId="2" fontId="26" fillId="0" borderId="10" xfId="0" quotePrefix="1" applyNumberFormat="1" applyFont="1" applyFill="1" applyBorder="1" applyAlignment="1">
      <alignment horizontal="center" vertical="center" wrapText="1"/>
    </xf>
    <xf numFmtId="49" fontId="10" fillId="0" borderId="10" xfId="0" quotePrefix="1" applyNumberFormat="1" applyFont="1" applyFill="1" applyBorder="1" applyAlignment="1">
      <alignment horizontal="center" vertical="center" wrapText="1"/>
    </xf>
    <xf numFmtId="2" fontId="10" fillId="0" borderId="10" xfId="0" quotePrefix="1" applyNumberFormat="1" applyFont="1" applyFill="1" applyBorder="1" applyAlignment="1">
      <alignment horizontal="center" vertical="center" wrapText="1"/>
    </xf>
    <xf numFmtId="49" fontId="26" fillId="0" borderId="10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49" fontId="10" fillId="0" borderId="8" xfId="0" quotePrefix="1" applyNumberFormat="1" applyFont="1" applyFill="1" applyBorder="1" applyAlignment="1">
      <alignment horizontal="center" vertical="center" wrapText="1"/>
    </xf>
    <xf numFmtId="2" fontId="10" fillId="0" borderId="8" xfId="0" quotePrefix="1" applyNumberFormat="1" applyFont="1" applyFill="1" applyBorder="1" applyAlignment="1">
      <alignment horizontal="center" vertical="center" wrapText="1"/>
    </xf>
    <xf numFmtId="49" fontId="26" fillId="0" borderId="7" xfId="0" applyNumberFormat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49" fontId="10" fillId="0" borderId="7" xfId="0" quotePrefix="1" applyNumberFormat="1" applyFont="1" applyFill="1" applyBorder="1" applyAlignment="1">
      <alignment horizontal="center" vertical="center" wrapText="1"/>
    </xf>
    <xf numFmtId="2" fontId="10" fillId="0" borderId="7" xfId="0" quotePrefix="1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7" fillId="4" borderId="14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7" fillId="4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36597"/>
          <a:ext cx="7595115" cy="84607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57149</xdr:colOff>
      <xdr:row>59</xdr:row>
      <xdr:rowOff>25674</xdr:rowOff>
    </xdr:from>
    <xdr:to>
      <xdr:col>13</xdr:col>
      <xdr:colOff>396699</xdr:colOff>
      <xdr:row>63</xdr:row>
      <xdr:rowOff>123825</xdr:rowOff>
    </xdr:to>
    <xdr:grpSp>
      <xdr:nvGrpSpPr>
        <xdr:cNvPr id="11" name="Group 10"/>
        <xdr:cNvGrpSpPr/>
      </xdr:nvGrpSpPr>
      <xdr:grpSpPr>
        <a:xfrm>
          <a:off x="57149" y="11463957"/>
          <a:ext cx="7595115" cy="893281"/>
          <a:chOff x="19049" y="4911999"/>
          <a:chExt cx="7026100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66674</xdr:colOff>
      <xdr:row>92</xdr:row>
      <xdr:rowOff>82824</xdr:rowOff>
    </xdr:from>
    <xdr:to>
      <xdr:col>13</xdr:col>
      <xdr:colOff>406224</xdr:colOff>
      <xdr:row>96</xdr:row>
      <xdr:rowOff>142875</xdr:rowOff>
    </xdr:to>
    <xdr:grpSp>
      <xdr:nvGrpSpPr>
        <xdr:cNvPr id="20" name="Group 19"/>
        <xdr:cNvGrpSpPr/>
      </xdr:nvGrpSpPr>
      <xdr:grpSpPr>
        <a:xfrm>
          <a:off x="66674" y="17906998"/>
          <a:ext cx="7595115" cy="788920"/>
          <a:chOff x="19049" y="4911999"/>
          <a:chExt cx="7026100" cy="830330"/>
        </a:xfrm>
      </xdr:grpSpPr>
      <xdr:sp macro="" textlink="">
        <xdr:nvSpPr>
          <xdr:cNvPr id="21" name="Rounded Rectangle 2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114</xdr:row>
      <xdr:rowOff>19050</xdr:rowOff>
    </xdr:from>
    <xdr:to>
      <xdr:col>13</xdr:col>
      <xdr:colOff>396700</xdr:colOff>
      <xdr:row>118</xdr:row>
      <xdr:rowOff>117201</xdr:rowOff>
    </xdr:to>
    <xdr:grpSp>
      <xdr:nvGrpSpPr>
        <xdr:cNvPr id="29" name="Group 28"/>
        <xdr:cNvGrpSpPr/>
      </xdr:nvGrpSpPr>
      <xdr:grpSpPr>
        <a:xfrm>
          <a:off x="57150" y="22448354"/>
          <a:ext cx="7595115" cy="827021"/>
          <a:chOff x="19049" y="4911999"/>
          <a:chExt cx="7026100" cy="830330"/>
        </a:xfrm>
      </xdr:grpSpPr>
      <xdr:sp macro="" textlink="">
        <xdr:nvSpPr>
          <xdr:cNvPr id="30" name="Rounded Rectangle 2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1" name="Rounded Rectangle 3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2" name="Rounded Rectangle 3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3" name="Flowchart: Connector 3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Flowchart: Connector 3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Flowchart: Connector 3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154</xdr:row>
      <xdr:rowOff>19050</xdr:rowOff>
    </xdr:from>
    <xdr:to>
      <xdr:col>13</xdr:col>
      <xdr:colOff>396700</xdr:colOff>
      <xdr:row>158</xdr:row>
      <xdr:rowOff>117201</xdr:rowOff>
    </xdr:to>
    <xdr:grpSp>
      <xdr:nvGrpSpPr>
        <xdr:cNvPr id="38" name="Group 37"/>
        <xdr:cNvGrpSpPr/>
      </xdr:nvGrpSpPr>
      <xdr:grpSpPr>
        <a:xfrm>
          <a:off x="57150" y="30457637"/>
          <a:ext cx="7595115" cy="827021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</xdr:colOff>
      <xdr:row>0</xdr:row>
      <xdr:rowOff>0</xdr:rowOff>
    </xdr:from>
    <xdr:to>
      <xdr:col>17</xdr:col>
      <xdr:colOff>110652</xdr:colOff>
      <xdr:row>3</xdr:row>
      <xdr:rowOff>143769</xdr:rowOff>
    </xdr:to>
    <xdr:grpSp>
      <xdr:nvGrpSpPr>
        <xdr:cNvPr id="47" name="Group 46"/>
        <xdr:cNvGrpSpPr/>
      </xdr:nvGrpSpPr>
      <xdr:grpSpPr>
        <a:xfrm>
          <a:off x="1" y="0"/>
          <a:ext cx="8973042" cy="690421"/>
          <a:chOff x="0" y="8279"/>
          <a:chExt cx="8302625" cy="703632"/>
        </a:xfrm>
      </xdr:grpSpPr>
      <xdr:sp macro="" textlink="">
        <xdr:nvSpPr>
          <xdr:cNvPr id="48" name="TextBox 4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Borujerd-80000-ARF-BOM-07</a:t>
            </a:r>
            <a:endParaRPr lang="en-US" sz="800"/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5</a:t>
            </a:r>
            <a:endParaRPr lang="en-US" sz="800"/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6" name="TextBox 5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7" name="Picture 5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16565</xdr:colOff>
      <xdr:row>32</xdr:row>
      <xdr:rowOff>24848</xdr:rowOff>
    </xdr:from>
    <xdr:to>
      <xdr:col>17</xdr:col>
      <xdr:colOff>127216</xdr:colOff>
      <xdr:row>35</xdr:row>
      <xdr:rowOff>168617</xdr:rowOff>
    </xdr:to>
    <xdr:grpSp>
      <xdr:nvGrpSpPr>
        <xdr:cNvPr id="58" name="Group 57"/>
        <xdr:cNvGrpSpPr/>
      </xdr:nvGrpSpPr>
      <xdr:grpSpPr>
        <a:xfrm>
          <a:off x="16565" y="6369326"/>
          <a:ext cx="8973042" cy="690421"/>
          <a:chOff x="0" y="8279"/>
          <a:chExt cx="8302625" cy="703632"/>
        </a:xfrm>
      </xdr:grpSpPr>
      <xdr:sp macro="" textlink="">
        <xdr:nvSpPr>
          <xdr:cNvPr id="59" name="TextBox 58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80000</a:t>
            </a:r>
            <a:endParaRPr lang="en-US" sz="800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Borujerd-80000-ARF-BOM-07</a:t>
            </a:r>
            <a:endParaRPr lang="en-US" sz="800"/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5</a:t>
            </a:r>
            <a:endParaRPr lang="en-US" sz="800"/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67" name="TextBox 66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68" name="Picture 6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8283</xdr:colOff>
      <xdr:row>66</xdr:row>
      <xdr:rowOff>16565</xdr:rowOff>
    </xdr:from>
    <xdr:to>
      <xdr:col>17</xdr:col>
      <xdr:colOff>118934</xdr:colOff>
      <xdr:row>69</xdr:row>
      <xdr:rowOff>160334</xdr:rowOff>
    </xdr:to>
    <xdr:grpSp>
      <xdr:nvGrpSpPr>
        <xdr:cNvPr id="69" name="Group 68"/>
        <xdr:cNvGrpSpPr/>
      </xdr:nvGrpSpPr>
      <xdr:grpSpPr>
        <a:xfrm>
          <a:off x="8283" y="12796630"/>
          <a:ext cx="8973042" cy="690421"/>
          <a:chOff x="0" y="8279"/>
          <a:chExt cx="8302625" cy="703632"/>
        </a:xfrm>
      </xdr:grpSpPr>
      <xdr:sp macro="" textlink="">
        <xdr:nvSpPr>
          <xdr:cNvPr id="70" name="TextBox 69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3" name="TextBox 72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Borujerd-80000-ARF-BOM-07</a:t>
            </a:r>
            <a:endParaRPr lang="en-US" sz="800"/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3 of 5</a:t>
            </a:r>
            <a:endParaRPr lang="en-US" sz="8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78" name="TextBox 77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79" name="Picture 7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33130</xdr:colOff>
      <xdr:row>99</xdr:row>
      <xdr:rowOff>8281</xdr:rowOff>
    </xdr:from>
    <xdr:to>
      <xdr:col>17</xdr:col>
      <xdr:colOff>143781</xdr:colOff>
      <xdr:row>102</xdr:row>
      <xdr:rowOff>152050</xdr:rowOff>
    </xdr:to>
    <xdr:grpSp>
      <xdr:nvGrpSpPr>
        <xdr:cNvPr id="80" name="Group 79"/>
        <xdr:cNvGrpSpPr/>
      </xdr:nvGrpSpPr>
      <xdr:grpSpPr>
        <a:xfrm>
          <a:off x="33130" y="19107977"/>
          <a:ext cx="8973042" cy="690421"/>
          <a:chOff x="0" y="8279"/>
          <a:chExt cx="8302625" cy="703632"/>
        </a:xfrm>
      </xdr:grpSpPr>
      <xdr:sp macro="" textlink="">
        <xdr:nvSpPr>
          <xdr:cNvPr id="81" name="TextBox 8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82" name="TextBox 8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83" name="TextBox 8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4" name="TextBox 8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85" name="TextBox 8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Borujerd-80000-ARF-BOM-07</a:t>
            </a:r>
            <a:endParaRPr lang="en-US" sz="800"/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4 of 5</a:t>
            </a:r>
            <a:endParaRPr lang="en-US" sz="800"/>
          </a:p>
        </xdr:txBody>
      </xdr:sp>
      <xdr:sp macro="" textlink="">
        <xdr:nvSpPr>
          <xdr:cNvPr id="88" name="TextBox 8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89" name="TextBox 8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131</xdr:row>
      <xdr:rowOff>8283</xdr:rowOff>
    </xdr:from>
    <xdr:to>
      <xdr:col>17</xdr:col>
      <xdr:colOff>110651</xdr:colOff>
      <xdr:row>134</xdr:row>
      <xdr:rowOff>152052</xdr:rowOff>
    </xdr:to>
    <xdr:grpSp>
      <xdr:nvGrpSpPr>
        <xdr:cNvPr id="91" name="Group 90"/>
        <xdr:cNvGrpSpPr/>
      </xdr:nvGrpSpPr>
      <xdr:grpSpPr>
        <a:xfrm>
          <a:off x="0" y="25535283"/>
          <a:ext cx="8973042" cy="690421"/>
          <a:chOff x="0" y="8279"/>
          <a:chExt cx="8302625" cy="703632"/>
        </a:xfrm>
      </xdr:grpSpPr>
      <xdr:sp macro="" textlink="">
        <xdr:nvSpPr>
          <xdr:cNvPr id="92" name="TextBox 9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94" name="TextBox 9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95" name="TextBox 9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96" name="TextBox 9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Borujerd-80000-ARF-BOM-07</a:t>
            </a:r>
            <a:endParaRPr lang="en-US" sz="800"/>
          </a:p>
        </xdr:txBody>
      </xdr:sp>
      <xdr:sp macro="" textlink="">
        <xdr:nvSpPr>
          <xdr:cNvPr id="98" name="TextBox 9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5 of 5</a:t>
            </a:r>
            <a:endParaRPr lang="en-US" sz="800"/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00" name="TextBox 9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01" name="Picture 10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30</xdr:row>
      <xdr:rowOff>69395</xdr:rowOff>
    </xdr:from>
    <xdr:to>
      <xdr:col>14</xdr:col>
      <xdr:colOff>255788</xdr:colOff>
      <xdr:row>34</xdr:row>
      <xdr:rowOff>129445</xdr:rowOff>
    </xdr:to>
    <xdr:grpSp>
      <xdr:nvGrpSpPr>
        <xdr:cNvPr id="2" name="Group 1"/>
        <xdr:cNvGrpSpPr/>
      </xdr:nvGrpSpPr>
      <xdr:grpSpPr>
        <a:xfrm>
          <a:off x="30538" y="5821030"/>
          <a:ext cx="7566827" cy="792742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9704" cy="681651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Product:Damper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Borujerd-80000-Damper-BOM-01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16</xdr:row>
      <xdr:rowOff>93002</xdr:rowOff>
    </xdr:from>
    <xdr:to>
      <xdr:col>14</xdr:col>
      <xdr:colOff>255788</xdr:colOff>
      <xdr:row>20</xdr:row>
      <xdr:rowOff>153052</xdr:rowOff>
    </xdr:to>
    <xdr:grpSp>
      <xdr:nvGrpSpPr>
        <xdr:cNvPr id="2" name="Group 1"/>
        <xdr:cNvGrpSpPr/>
      </xdr:nvGrpSpPr>
      <xdr:grpSpPr>
        <a:xfrm>
          <a:off x="30538" y="3280214"/>
          <a:ext cx="7566827" cy="792742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9704" cy="681651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Coil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Borujerd-80000-Coil-BOM-01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52950</xdr:colOff>
      <xdr:row>19</xdr:row>
      <xdr:rowOff>36973</xdr:rowOff>
    </xdr:from>
    <xdr:to>
      <xdr:col>14</xdr:col>
      <xdr:colOff>278200</xdr:colOff>
      <xdr:row>23</xdr:row>
      <xdr:rowOff>97022</xdr:rowOff>
    </xdr:to>
    <xdr:grpSp>
      <xdr:nvGrpSpPr>
        <xdr:cNvPr id="2" name="Group 1"/>
        <xdr:cNvGrpSpPr/>
      </xdr:nvGrpSpPr>
      <xdr:grpSpPr>
        <a:xfrm>
          <a:off x="52950" y="3747582"/>
          <a:ext cx="7571924" cy="78891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Product:Static</a:t>
            </a:r>
            <a:r>
              <a:rPr lang="en-US" sz="800" baseline="0"/>
              <a:t> Water Filter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Borujerd-80000-Static Water</a:t>
            </a:r>
            <a:r>
              <a:rPr lang="en-US" sz="800" baseline="0"/>
              <a:t> Filter-BOM-01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11</xdr:row>
      <xdr:rowOff>64188</xdr:rowOff>
    </xdr:from>
    <xdr:to>
      <xdr:col>14</xdr:col>
      <xdr:colOff>264592</xdr:colOff>
      <xdr:row>15</xdr:row>
      <xdr:rowOff>124236</xdr:rowOff>
    </xdr:to>
    <xdr:grpSp>
      <xdr:nvGrpSpPr>
        <xdr:cNvPr id="2" name="Group 1"/>
        <xdr:cNvGrpSpPr/>
      </xdr:nvGrpSpPr>
      <xdr:grpSpPr>
        <a:xfrm>
          <a:off x="39342" y="2335534"/>
          <a:ext cx="7566827" cy="79274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9704" cy="681651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Product:Pumping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Station:80000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Borujerd-80000-Pumping-BOM-01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27</xdr:row>
      <xdr:rowOff>64188</xdr:rowOff>
    </xdr:from>
    <xdr:to>
      <xdr:col>14</xdr:col>
      <xdr:colOff>264592</xdr:colOff>
      <xdr:row>31</xdr:row>
      <xdr:rowOff>124236</xdr:rowOff>
    </xdr:to>
    <xdr:grpSp>
      <xdr:nvGrpSpPr>
        <xdr:cNvPr id="2" name="Group 1"/>
        <xdr:cNvGrpSpPr/>
      </xdr:nvGrpSpPr>
      <xdr:grpSpPr>
        <a:xfrm>
          <a:off x="39342" y="5232536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Product:Ventilation Door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Borujerd-80000-Ventilation Door-BOM-01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26</xdr:row>
      <xdr:rowOff>64188</xdr:rowOff>
    </xdr:from>
    <xdr:to>
      <xdr:col>14</xdr:col>
      <xdr:colOff>272874</xdr:colOff>
      <xdr:row>30</xdr:row>
      <xdr:rowOff>124235</xdr:rowOff>
    </xdr:to>
    <xdr:grpSp>
      <xdr:nvGrpSpPr>
        <xdr:cNvPr id="2" name="Group 1"/>
        <xdr:cNvGrpSpPr/>
      </xdr:nvGrpSpPr>
      <xdr:grpSpPr>
        <a:xfrm>
          <a:off x="47624" y="5157992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Nozzle</a:t>
            </a:r>
            <a:r>
              <a:rPr lang="en-US" sz="800" baseline="0"/>
              <a:t> Bank</a:t>
            </a:r>
            <a:endParaRPr lang="en-US" sz="8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Borujerd-80000-Nozzle</a:t>
            </a:r>
            <a:r>
              <a:rPr lang="en-US" sz="800" baseline="0"/>
              <a:t> Bank-BOM-01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44919</xdr:rowOff>
    </xdr:from>
    <xdr:to>
      <xdr:col>14</xdr:col>
      <xdr:colOff>129512</xdr:colOff>
      <xdr:row>29</xdr:row>
      <xdr:rowOff>93008</xdr:rowOff>
    </xdr:to>
    <xdr:grpSp>
      <xdr:nvGrpSpPr>
        <xdr:cNvPr id="2" name="Group 1"/>
        <xdr:cNvGrpSpPr/>
      </xdr:nvGrpSpPr>
      <xdr:grpSpPr>
        <a:xfrm>
          <a:off x="0" y="4956506"/>
          <a:ext cx="7583860" cy="77695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771007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Eliminator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Borujerd-80000-Eliminator-BOM-01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2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22411</xdr:colOff>
      <xdr:row>45</xdr:row>
      <xdr:rowOff>22411</xdr:rowOff>
    </xdr:from>
    <xdr:to>
      <xdr:col>14</xdr:col>
      <xdr:colOff>151923</xdr:colOff>
      <xdr:row>49</xdr:row>
      <xdr:rowOff>70501</xdr:rowOff>
    </xdr:to>
    <xdr:grpSp>
      <xdr:nvGrpSpPr>
        <xdr:cNvPr id="33" name="Group 32"/>
        <xdr:cNvGrpSpPr/>
      </xdr:nvGrpSpPr>
      <xdr:grpSpPr>
        <a:xfrm>
          <a:off x="22411" y="9033889"/>
          <a:ext cx="7583860" cy="776960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8283</xdr:colOff>
      <xdr:row>33</xdr:row>
      <xdr:rowOff>16565</xdr:rowOff>
    </xdr:from>
    <xdr:to>
      <xdr:col>17</xdr:col>
      <xdr:colOff>90833</xdr:colOff>
      <xdr:row>36</xdr:row>
      <xdr:rowOff>148697</xdr:rowOff>
    </xdr:to>
    <xdr:grpSp>
      <xdr:nvGrpSpPr>
        <xdr:cNvPr id="51" name="Group 50"/>
        <xdr:cNvGrpSpPr/>
      </xdr:nvGrpSpPr>
      <xdr:grpSpPr>
        <a:xfrm>
          <a:off x="8283" y="6385891"/>
          <a:ext cx="8771007" cy="678784"/>
          <a:chOff x="0" y="8279"/>
          <a:chExt cx="8321675" cy="703632"/>
        </a:xfrm>
      </xdr:grpSpPr>
      <xdr:sp macro="" textlink="">
        <xdr:nvSpPr>
          <xdr:cNvPr id="52" name="TextBox 5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Eliminator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Borujerd-80000-Eliminator-BOM-01</a:t>
            </a:r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2</a:t>
            </a:r>
            <a:endParaRPr lang="en-US" sz="800"/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60" name="TextBox 5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21</xdr:row>
      <xdr:rowOff>130449</xdr:rowOff>
    </xdr:from>
    <xdr:to>
      <xdr:col>14</xdr:col>
      <xdr:colOff>272874</xdr:colOff>
      <xdr:row>26</xdr:row>
      <xdr:rowOff>8279</xdr:rowOff>
    </xdr:to>
    <xdr:grpSp>
      <xdr:nvGrpSpPr>
        <xdr:cNvPr id="2" name="Group 1"/>
        <xdr:cNvGrpSpPr/>
      </xdr:nvGrpSpPr>
      <xdr:grpSpPr>
        <a:xfrm>
          <a:off x="47624" y="4292874"/>
          <a:ext cx="7569025" cy="78270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664575" cy="675057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Air Baffle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Borujerd-80000-Air</a:t>
            </a:r>
            <a:r>
              <a:rPr lang="en-US" sz="800" baseline="0"/>
              <a:t> Baffle-BOM-01</a:t>
            </a:r>
            <a:endParaRPr lang="en-US" sz="80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43142</xdr:colOff>
      <xdr:row>19</xdr:row>
      <xdr:rowOff>99072</xdr:rowOff>
    </xdr:from>
    <xdr:to>
      <xdr:col>13</xdr:col>
      <xdr:colOff>382692</xdr:colOff>
      <xdr:row>24</xdr:row>
      <xdr:rowOff>36979</xdr:rowOff>
    </xdr:to>
    <xdr:grpSp>
      <xdr:nvGrpSpPr>
        <xdr:cNvPr id="2" name="Group 1"/>
        <xdr:cNvGrpSpPr/>
      </xdr:nvGrpSpPr>
      <xdr:grpSpPr>
        <a:xfrm>
          <a:off x="43142" y="3917355"/>
          <a:ext cx="7628246" cy="84899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19049</xdr:colOff>
      <xdr:row>49</xdr:row>
      <xdr:rowOff>130449</xdr:rowOff>
    </xdr:from>
    <xdr:to>
      <xdr:col>13</xdr:col>
      <xdr:colOff>358599</xdr:colOff>
      <xdr:row>54</xdr:row>
      <xdr:rowOff>38100</xdr:rowOff>
    </xdr:to>
    <xdr:grpSp>
      <xdr:nvGrpSpPr>
        <xdr:cNvPr id="11" name="Group 10"/>
        <xdr:cNvGrpSpPr/>
      </xdr:nvGrpSpPr>
      <xdr:grpSpPr>
        <a:xfrm>
          <a:off x="19049" y="9779688"/>
          <a:ext cx="7628246" cy="818738"/>
          <a:chOff x="19049" y="4911999"/>
          <a:chExt cx="7026100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66261</xdr:colOff>
      <xdr:row>128</xdr:row>
      <xdr:rowOff>107673</xdr:rowOff>
    </xdr:from>
    <xdr:to>
      <xdr:col>15</xdr:col>
      <xdr:colOff>155676</xdr:colOff>
      <xdr:row>133</xdr:row>
      <xdr:rowOff>9112</xdr:rowOff>
    </xdr:to>
    <xdr:grpSp>
      <xdr:nvGrpSpPr>
        <xdr:cNvPr id="20" name="Group 19"/>
        <xdr:cNvGrpSpPr/>
      </xdr:nvGrpSpPr>
      <xdr:grpSpPr>
        <a:xfrm>
          <a:off x="66261" y="24831260"/>
          <a:ext cx="8264350" cy="812526"/>
          <a:chOff x="19049" y="4911999"/>
          <a:chExt cx="7026100" cy="830330"/>
        </a:xfrm>
      </xdr:grpSpPr>
      <xdr:sp macro="" textlink="">
        <xdr:nvSpPr>
          <xdr:cNvPr id="21" name="Rounded Rectangle 2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24848</xdr:colOff>
      <xdr:row>99</xdr:row>
      <xdr:rowOff>2071</xdr:rowOff>
    </xdr:from>
    <xdr:to>
      <xdr:col>15</xdr:col>
      <xdr:colOff>91108</xdr:colOff>
      <xdr:row>103</xdr:row>
      <xdr:rowOff>0</xdr:rowOff>
    </xdr:to>
    <xdr:grpSp>
      <xdr:nvGrpSpPr>
        <xdr:cNvPr id="29" name="Group 28"/>
        <xdr:cNvGrpSpPr/>
      </xdr:nvGrpSpPr>
      <xdr:grpSpPr>
        <a:xfrm>
          <a:off x="24848" y="18795310"/>
          <a:ext cx="8241195" cy="660538"/>
          <a:chOff x="19049" y="4911999"/>
          <a:chExt cx="7026100" cy="830330"/>
        </a:xfrm>
      </xdr:grpSpPr>
      <xdr:sp macro="" textlink="">
        <xdr:nvSpPr>
          <xdr:cNvPr id="30" name="Rounded Rectangle 2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1" name="Rounded Rectangle 3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2" name="Rounded Rectangle 3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3" name="Flowchart: Connector 3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Flowchart: Connector 3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Flowchart: Connector 3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41413</xdr:colOff>
      <xdr:row>0</xdr:row>
      <xdr:rowOff>16565</xdr:rowOff>
    </xdr:from>
    <xdr:to>
      <xdr:col>17</xdr:col>
      <xdr:colOff>120395</xdr:colOff>
      <xdr:row>4</xdr:row>
      <xdr:rowOff>2477</xdr:rowOff>
    </xdr:to>
    <xdr:grpSp>
      <xdr:nvGrpSpPr>
        <xdr:cNvPr id="38" name="Group 37"/>
        <xdr:cNvGrpSpPr/>
      </xdr:nvGrpSpPr>
      <xdr:grpSpPr>
        <a:xfrm>
          <a:off x="41413" y="16565"/>
          <a:ext cx="8974504" cy="681651"/>
          <a:chOff x="0" y="8279"/>
          <a:chExt cx="8302625" cy="703632"/>
        </a:xfrm>
      </xdr:grpSpPr>
      <xdr:sp macro="" textlink="">
        <xdr:nvSpPr>
          <xdr:cNvPr id="39" name="TextBox 38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Borujerd-80000-ARF-BOM-06</a:t>
            </a:r>
            <a:endParaRPr lang="en-US" sz="8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4</a:t>
            </a:r>
            <a:endParaRPr lang="en-US" sz="8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47" name="TextBox 46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48" name="Picture 4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24848</xdr:colOff>
      <xdr:row>34</xdr:row>
      <xdr:rowOff>8283</xdr:rowOff>
    </xdr:from>
    <xdr:to>
      <xdr:col>17</xdr:col>
      <xdr:colOff>103830</xdr:colOff>
      <xdr:row>37</xdr:row>
      <xdr:rowOff>143281</xdr:rowOff>
    </xdr:to>
    <xdr:grpSp>
      <xdr:nvGrpSpPr>
        <xdr:cNvPr id="49" name="Group 48"/>
        <xdr:cNvGrpSpPr/>
      </xdr:nvGrpSpPr>
      <xdr:grpSpPr>
        <a:xfrm>
          <a:off x="24848" y="6559826"/>
          <a:ext cx="8974504" cy="681651"/>
          <a:chOff x="0" y="8279"/>
          <a:chExt cx="8302625" cy="703632"/>
        </a:xfrm>
      </xdr:grpSpPr>
      <xdr:sp macro="" textlink="">
        <xdr:nvSpPr>
          <xdr:cNvPr id="50" name="TextBox 49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Borujerd-80000-ARF-BOM-06</a:t>
            </a:r>
            <a:endParaRPr lang="en-US" sz="80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4</a:t>
            </a:r>
            <a:endParaRPr lang="en-US" sz="800"/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8" name="TextBox 57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9" name="Picture 5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65</xdr:row>
      <xdr:rowOff>157371</xdr:rowOff>
    </xdr:from>
    <xdr:to>
      <xdr:col>16</xdr:col>
      <xdr:colOff>273941</xdr:colOff>
      <xdr:row>68</xdr:row>
      <xdr:rowOff>149089</xdr:rowOff>
    </xdr:to>
    <xdr:grpSp>
      <xdr:nvGrpSpPr>
        <xdr:cNvPr id="60" name="Group 59"/>
        <xdr:cNvGrpSpPr/>
      </xdr:nvGrpSpPr>
      <xdr:grpSpPr>
        <a:xfrm>
          <a:off x="0" y="12920871"/>
          <a:ext cx="8846441" cy="538370"/>
          <a:chOff x="0" y="8279"/>
          <a:chExt cx="8195768" cy="703632"/>
        </a:xfrm>
      </xdr:grpSpPr>
      <xdr:sp macro="" textlink="">
        <xdr:nvSpPr>
          <xdr:cNvPr id="61" name="TextBox 6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Borujerd-80000-ARF-BOM-06</a:t>
            </a:r>
            <a:endParaRPr lang="en-US" sz="800"/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3 of 4</a:t>
            </a:r>
            <a:endParaRPr lang="en-US" sz="800"/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69" name="TextBox 6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70" name="Picture 6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6" y="38100"/>
            <a:ext cx="604342" cy="54390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16565</xdr:colOff>
      <xdr:row>104</xdr:row>
      <xdr:rowOff>1657</xdr:rowOff>
    </xdr:from>
    <xdr:to>
      <xdr:col>17</xdr:col>
      <xdr:colOff>95547</xdr:colOff>
      <xdr:row>107</xdr:row>
      <xdr:rowOff>132515</xdr:rowOff>
    </xdr:to>
    <xdr:grpSp>
      <xdr:nvGrpSpPr>
        <xdr:cNvPr id="71" name="Group 70"/>
        <xdr:cNvGrpSpPr/>
      </xdr:nvGrpSpPr>
      <xdr:grpSpPr>
        <a:xfrm>
          <a:off x="16565" y="19556896"/>
          <a:ext cx="8974504" cy="677510"/>
          <a:chOff x="0" y="8279"/>
          <a:chExt cx="8302625" cy="703632"/>
        </a:xfrm>
      </xdr:grpSpPr>
      <xdr:sp macro="" textlink="">
        <xdr:nvSpPr>
          <xdr:cNvPr id="72" name="TextBox 7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73" name="TextBox 7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Borujerd-80000-ARF-BOM-06</a:t>
            </a:r>
            <a:endParaRPr lang="en-US" sz="800"/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4 of 4</a:t>
            </a:r>
            <a:endParaRPr lang="en-US" sz="800"/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80" name="TextBox 7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81" name="Picture 8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26</xdr:row>
      <xdr:rowOff>47625</xdr:rowOff>
    </xdr:from>
    <xdr:to>
      <xdr:col>16</xdr:col>
      <xdr:colOff>215725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24450"/>
          <a:ext cx="8264350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92075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162675"/>
          <a:ext cx="8988425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16</xdr:col>
      <xdr:colOff>215725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0915650"/>
          <a:ext cx="8264350" cy="8125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38100</xdr:rowOff>
    </xdr:from>
    <xdr:to>
      <xdr:col>18</xdr:col>
      <xdr:colOff>65985</xdr:colOff>
      <xdr:row>4</xdr:row>
      <xdr:rowOff>21559</xdr:rowOff>
    </xdr:to>
    <xdr:grpSp>
      <xdr:nvGrpSpPr>
        <xdr:cNvPr id="42" name="Group 41"/>
        <xdr:cNvGrpSpPr/>
      </xdr:nvGrpSpPr>
      <xdr:grpSpPr>
        <a:xfrm>
          <a:off x="0" y="38100"/>
          <a:ext cx="8962335" cy="678784"/>
          <a:chOff x="0" y="8279"/>
          <a:chExt cx="830262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--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--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Borujerd-80000-ARF-BOM-05</a:t>
            </a:r>
            <a:endParaRPr lang="en-US" sz="800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18</xdr:row>
      <xdr:rowOff>123825</xdr:rowOff>
    </xdr:from>
    <xdr:to>
      <xdr:col>16</xdr:col>
      <xdr:colOff>349075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43325"/>
          <a:ext cx="8311975" cy="803001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38100</xdr:rowOff>
    </xdr:from>
    <xdr:to>
      <xdr:col>18</xdr:col>
      <xdr:colOff>170760</xdr:colOff>
      <xdr:row>4</xdr:row>
      <xdr:rowOff>21559</xdr:rowOff>
    </xdr:to>
    <xdr:grpSp>
      <xdr:nvGrpSpPr>
        <xdr:cNvPr id="22" name="Group 21"/>
        <xdr:cNvGrpSpPr/>
      </xdr:nvGrpSpPr>
      <xdr:grpSpPr>
        <a:xfrm>
          <a:off x="19050" y="38100"/>
          <a:ext cx="8962335" cy="678784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--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Borujerd-80000-ARF-BOM-04</a:t>
            </a:r>
            <a:endParaRPr lang="en-US" sz="8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23</xdr:row>
      <xdr:rowOff>85725</xdr:rowOff>
    </xdr:from>
    <xdr:to>
      <xdr:col>17</xdr:col>
      <xdr:colOff>34750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810125"/>
          <a:ext cx="8331025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18</xdr:col>
      <xdr:colOff>101600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5991225"/>
          <a:ext cx="9017000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16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058400"/>
          <a:ext cx="8311975" cy="803001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19050</xdr:rowOff>
    </xdr:from>
    <xdr:to>
      <xdr:col>18</xdr:col>
      <xdr:colOff>65985</xdr:colOff>
      <xdr:row>4</xdr:row>
      <xdr:rowOff>2509</xdr:rowOff>
    </xdr:to>
    <xdr:grpSp>
      <xdr:nvGrpSpPr>
        <xdr:cNvPr id="42" name="Group 41"/>
        <xdr:cNvGrpSpPr/>
      </xdr:nvGrpSpPr>
      <xdr:grpSpPr>
        <a:xfrm>
          <a:off x="19050" y="19050"/>
          <a:ext cx="8962335" cy="678784"/>
          <a:chOff x="0" y="8279"/>
          <a:chExt cx="830262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--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--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Borujerd-80000-ARF-BOM-03</a:t>
            </a:r>
            <a:endParaRPr lang="en-US" sz="800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24</xdr:row>
      <xdr:rowOff>66675</xdr:rowOff>
    </xdr:from>
    <xdr:to>
      <xdr:col>16</xdr:col>
      <xdr:colOff>320500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38700"/>
          <a:ext cx="8302450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28575</xdr:colOff>
      <xdr:row>0</xdr:row>
      <xdr:rowOff>28575</xdr:rowOff>
    </xdr:from>
    <xdr:to>
      <xdr:col>18</xdr:col>
      <xdr:colOff>170760</xdr:colOff>
      <xdr:row>4</xdr:row>
      <xdr:rowOff>12034</xdr:rowOff>
    </xdr:to>
    <xdr:grpSp>
      <xdr:nvGrpSpPr>
        <xdr:cNvPr id="22" name="Group 21"/>
        <xdr:cNvGrpSpPr/>
      </xdr:nvGrpSpPr>
      <xdr:grpSpPr>
        <a:xfrm>
          <a:off x="28575" y="28575"/>
          <a:ext cx="8962335" cy="678784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--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Borujerd-80000-ARF-BOM-02</a:t>
            </a:r>
            <a:endParaRPr lang="en-US" sz="8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124792</xdr:colOff>
      <xdr:row>3</xdr:row>
      <xdr:rowOff>132132</xdr:rowOff>
    </xdr:to>
    <xdr:grpSp>
      <xdr:nvGrpSpPr>
        <xdr:cNvPr id="2" name="Group 1"/>
        <xdr:cNvGrpSpPr/>
      </xdr:nvGrpSpPr>
      <xdr:grpSpPr>
        <a:xfrm>
          <a:off x="0" y="0"/>
          <a:ext cx="8962335" cy="678784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--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Borujerd-80000-ARF-BOM-01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16</xdr:col>
      <xdr:colOff>334166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50760"/>
          <a:ext cx="8317773" cy="809213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10</xdr:row>
      <xdr:rowOff>102527</xdr:rowOff>
    </xdr:from>
    <xdr:to>
      <xdr:col>14</xdr:col>
      <xdr:colOff>255788</xdr:colOff>
      <xdr:row>14</xdr:row>
      <xdr:rowOff>162576</xdr:rowOff>
    </xdr:to>
    <xdr:grpSp>
      <xdr:nvGrpSpPr>
        <xdr:cNvPr id="2" name="Group 1"/>
        <xdr:cNvGrpSpPr/>
      </xdr:nvGrpSpPr>
      <xdr:grpSpPr>
        <a:xfrm>
          <a:off x="30538" y="2162308"/>
          <a:ext cx="7565453" cy="77442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1003" cy="667913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Product:Insurment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Borujerd-80000-Insurment-BOM-01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23211</xdr:colOff>
      <xdr:row>19</xdr:row>
      <xdr:rowOff>87874</xdr:rowOff>
    </xdr:from>
    <xdr:to>
      <xdr:col>14</xdr:col>
      <xdr:colOff>248461</xdr:colOff>
      <xdr:row>23</xdr:row>
      <xdr:rowOff>147923</xdr:rowOff>
    </xdr:to>
    <xdr:grpSp>
      <xdr:nvGrpSpPr>
        <xdr:cNvPr id="2" name="Group 1"/>
        <xdr:cNvGrpSpPr/>
      </xdr:nvGrpSpPr>
      <xdr:grpSpPr>
        <a:xfrm>
          <a:off x="23211" y="3798483"/>
          <a:ext cx="7571924" cy="78891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Product:Fan</a:t>
            </a:r>
            <a:r>
              <a:rPr lang="en-US" sz="800" baseline="0"/>
              <a:t> Case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80000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Borujerd-80000-Fan</a:t>
            </a:r>
            <a:r>
              <a:rPr lang="en-US" sz="800" baseline="0"/>
              <a:t> Case-BOM-01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53"/>
  <sheetViews>
    <sheetView tabSelected="1" view="pageLayout" topLeftCell="A58" zoomScale="115" zoomScaleNormal="100" zoomScalePageLayoutView="115" workbookViewId="0">
      <selection activeCell="I177" sqref="I17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4.625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5.25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7" width="4.125" customWidth="1"/>
    <col min="18" max="18" width="3.875" customWidth="1"/>
    <col min="19" max="19" width="5.625" customWidth="1"/>
    <col min="20" max="20" width="8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686</v>
      </c>
      <c r="R7" s="16" t="s">
        <v>18</v>
      </c>
      <c r="S7" s="2" t="s">
        <v>16</v>
      </c>
    </row>
    <row r="8" spans="1:19" ht="14.25" customHeight="1" x14ac:dyDescent="0.2">
      <c r="A8" s="261" t="s">
        <v>249</v>
      </c>
      <c r="B8" s="269">
        <v>1</v>
      </c>
      <c r="C8" s="261" t="s">
        <v>250</v>
      </c>
      <c r="D8" s="282" t="s">
        <v>251</v>
      </c>
      <c r="E8" s="281">
        <v>1</v>
      </c>
      <c r="F8" s="269">
        <f>E8*B8</f>
        <v>1</v>
      </c>
      <c r="G8" s="272" t="s">
        <v>250</v>
      </c>
      <c r="H8" s="275" t="s">
        <v>252</v>
      </c>
      <c r="I8" s="278">
        <v>1</v>
      </c>
      <c r="J8" s="278">
        <f>I8*F8</f>
        <v>1</v>
      </c>
      <c r="K8" s="249" t="s">
        <v>250</v>
      </c>
      <c r="L8" s="248" t="s">
        <v>253</v>
      </c>
      <c r="M8" s="43" t="s">
        <v>254</v>
      </c>
      <c r="N8" s="44">
        <v>1</v>
      </c>
      <c r="O8" s="44">
        <f t="shared" ref="O8:O13" si="0">N8*$E$8</f>
        <v>1</v>
      </c>
      <c r="P8" s="45">
        <f t="shared" ref="P8:P13" si="1">O8*$B$8</f>
        <v>1</v>
      </c>
      <c r="Q8" s="45">
        <v>2.2000000000000002</v>
      </c>
      <c r="R8" s="45" t="s">
        <v>496</v>
      </c>
      <c r="S8" s="45" t="s">
        <v>44</v>
      </c>
    </row>
    <row r="9" spans="1:19" ht="14.25" customHeight="1" x14ac:dyDescent="0.2">
      <c r="A9" s="261"/>
      <c r="B9" s="269"/>
      <c r="C9" s="261"/>
      <c r="D9" s="282"/>
      <c r="E9" s="281"/>
      <c r="F9" s="269"/>
      <c r="G9" s="263"/>
      <c r="H9" s="276"/>
      <c r="I9" s="257"/>
      <c r="J9" s="257"/>
      <c r="K9" s="249" t="s">
        <v>255</v>
      </c>
      <c r="L9" s="248" t="s">
        <v>256</v>
      </c>
      <c r="M9" s="44" t="s">
        <v>257</v>
      </c>
      <c r="N9" s="44">
        <v>1</v>
      </c>
      <c r="O9" s="44">
        <f t="shared" si="0"/>
        <v>1</v>
      </c>
      <c r="P9" s="45">
        <f t="shared" si="1"/>
        <v>1</v>
      </c>
      <c r="Q9" s="45">
        <v>10.5</v>
      </c>
      <c r="R9" s="45" t="s">
        <v>496</v>
      </c>
      <c r="S9" s="45" t="s">
        <v>44</v>
      </c>
    </row>
    <row r="10" spans="1:19" ht="14.25" customHeight="1" x14ac:dyDescent="0.2">
      <c r="A10" s="261"/>
      <c r="B10" s="269"/>
      <c r="C10" s="261"/>
      <c r="D10" s="282"/>
      <c r="E10" s="281"/>
      <c r="F10" s="269"/>
      <c r="G10" s="263"/>
      <c r="H10" s="276"/>
      <c r="I10" s="257"/>
      <c r="J10" s="257"/>
      <c r="K10" s="249" t="s">
        <v>258</v>
      </c>
      <c r="L10" s="248" t="s">
        <v>259</v>
      </c>
      <c r="M10" s="43" t="s">
        <v>260</v>
      </c>
      <c r="N10" s="44">
        <v>1</v>
      </c>
      <c r="O10" s="44">
        <f t="shared" si="0"/>
        <v>1</v>
      </c>
      <c r="P10" s="45">
        <f t="shared" si="1"/>
        <v>1</v>
      </c>
      <c r="Q10" s="45">
        <v>0.3</v>
      </c>
      <c r="R10" s="45" t="s">
        <v>496</v>
      </c>
      <c r="S10" s="45" t="s">
        <v>44</v>
      </c>
    </row>
    <row r="11" spans="1:19" ht="14.25" customHeight="1" x14ac:dyDescent="0.2">
      <c r="A11" s="261"/>
      <c r="B11" s="269"/>
      <c r="C11" s="261"/>
      <c r="D11" s="282"/>
      <c r="E11" s="281"/>
      <c r="F11" s="269"/>
      <c r="G11" s="264"/>
      <c r="H11" s="277"/>
      <c r="I11" s="258"/>
      <c r="J11" s="258"/>
      <c r="K11" s="249" t="s">
        <v>250</v>
      </c>
      <c r="L11" s="248" t="s">
        <v>261</v>
      </c>
      <c r="M11" s="43" t="s">
        <v>262</v>
      </c>
      <c r="N11" s="44">
        <v>1</v>
      </c>
      <c r="O11" s="44">
        <f t="shared" si="0"/>
        <v>1</v>
      </c>
      <c r="P11" s="45">
        <f t="shared" si="1"/>
        <v>1</v>
      </c>
      <c r="Q11" s="45">
        <v>5.6</v>
      </c>
      <c r="R11" s="45" t="s">
        <v>496</v>
      </c>
      <c r="S11" s="45" t="s">
        <v>44</v>
      </c>
    </row>
    <row r="12" spans="1:19" ht="27" customHeight="1" x14ac:dyDescent="0.2">
      <c r="A12" s="261"/>
      <c r="B12" s="269"/>
      <c r="C12" s="261"/>
      <c r="D12" s="282"/>
      <c r="E12" s="281"/>
      <c r="F12" s="269"/>
      <c r="G12" s="272" t="s">
        <v>255</v>
      </c>
      <c r="H12" s="279" t="s">
        <v>263</v>
      </c>
      <c r="I12" s="268">
        <v>1</v>
      </c>
      <c r="J12" s="268">
        <f>I12*F8</f>
        <v>1</v>
      </c>
      <c r="K12" s="249" t="s">
        <v>250</v>
      </c>
      <c r="L12" s="248" t="s">
        <v>264</v>
      </c>
      <c r="M12" s="44" t="s">
        <v>265</v>
      </c>
      <c r="N12" s="45">
        <v>4</v>
      </c>
      <c r="O12" s="45">
        <f t="shared" si="0"/>
        <v>4</v>
      </c>
      <c r="P12" s="45">
        <f t="shared" si="1"/>
        <v>4</v>
      </c>
      <c r="Q12" s="45">
        <v>4</v>
      </c>
      <c r="R12" s="45" t="s">
        <v>518</v>
      </c>
      <c r="S12" s="45" t="s">
        <v>44</v>
      </c>
    </row>
    <row r="13" spans="1:19" ht="14.25" customHeight="1" x14ac:dyDescent="0.2">
      <c r="A13" s="261"/>
      <c r="B13" s="269"/>
      <c r="C13" s="261"/>
      <c r="D13" s="282"/>
      <c r="E13" s="281"/>
      <c r="F13" s="269"/>
      <c r="G13" s="264"/>
      <c r="H13" s="280"/>
      <c r="I13" s="266"/>
      <c r="J13" s="266"/>
      <c r="K13" s="249" t="s">
        <v>255</v>
      </c>
      <c r="L13" s="248" t="s">
        <v>84</v>
      </c>
      <c r="M13" s="44" t="s">
        <v>266</v>
      </c>
      <c r="N13" s="45">
        <v>4</v>
      </c>
      <c r="O13" s="45">
        <f t="shared" si="0"/>
        <v>4</v>
      </c>
      <c r="P13" s="45">
        <f t="shared" si="1"/>
        <v>4</v>
      </c>
      <c r="Q13" s="45">
        <v>4</v>
      </c>
      <c r="R13" s="45" t="s">
        <v>518</v>
      </c>
      <c r="S13" s="45" t="s">
        <v>44</v>
      </c>
    </row>
    <row r="14" spans="1:19" x14ac:dyDescent="0.2">
      <c r="I14" s="5"/>
      <c r="J14" s="5"/>
    </row>
    <row r="37" spans="1:19" ht="5.25" customHeight="1" x14ac:dyDescent="0.2"/>
    <row r="38" spans="1:19" ht="19.5" x14ac:dyDescent="0.2">
      <c r="A38" s="259" t="s">
        <v>0</v>
      </c>
      <c r="B38" s="260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21"/>
      <c r="R38" s="21"/>
      <c r="S38" s="17" t="s">
        <v>15</v>
      </c>
    </row>
    <row r="39" spans="1:19" ht="45" x14ac:dyDescent="0.2">
      <c r="A39" s="20" t="s">
        <v>2</v>
      </c>
      <c r="B39" s="3" t="s">
        <v>3</v>
      </c>
      <c r="C39" s="14" t="s">
        <v>4</v>
      </c>
      <c r="D39" s="15" t="s">
        <v>5</v>
      </c>
      <c r="E39" s="14" t="s">
        <v>6</v>
      </c>
      <c r="F39" s="14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32" t="s">
        <v>7</v>
      </c>
      <c r="L39" s="2" t="s">
        <v>5</v>
      </c>
      <c r="M39" s="31" t="s">
        <v>9</v>
      </c>
      <c r="N39" s="30" t="s">
        <v>8</v>
      </c>
      <c r="O39" s="30" t="s">
        <v>6</v>
      </c>
      <c r="P39" s="30" t="s">
        <v>3</v>
      </c>
      <c r="Q39" s="16" t="s">
        <v>686</v>
      </c>
      <c r="R39" s="16" t="s">
        <v>18</v>
      </c>
      <c r="S39" s="2" t="s">
        <v>16</v>
      </c>
    </row>
    <row r="40" spans="1:19" ht="13.5" customHeight="1" x14ac:dyDescent="0.2">
      <c r="A40" s="412" t="s">
        <v>249</v>
      </c>
      <c r="B40" s="413" t="s">
        <v>19</v>
      </c>
      <c r="C40" s="412" t="s">
        <v>255</v>
      </c>
      <c r="D40" s="414" t="s">
        <v>267</v>
      </c>
      <c r="E40" s="415">
        <v>1</v>
      </c>
      <c r="F40" s="416" t="s">
        <v>19</v>
      </c>
      <c r="G40" s="417" t="s">
        <v>250</v>
      </c>
      <c r="H40" s="270" t="s">
        <v>268</v>
      </c>
      <c r="I40" s="418">
        <v>1</v>
      </c>
      <c r="J40" s="416" t="s">
        <v>19</v>
      </c>
      <c r="K40" s="419" t="s">
        <v>19</v>
      </c>
      <c r="L40" s="46" t="s">
        <v>269</v>
      </c>
      <c r="M40" s="420" t="s">
        <v>270</v>
      </c>
      <c r="N40" s="421">
        <v>8</v>
      </c>
      <c r="O40" s="421">
        <v>8</v>
      </c>
      <c r="P40" s="421">
        <v>8</v>
      </c>
      <c r="Q40" s="422">
        <v>3.2</v>
      </c>
      <c r="R40" s="422" t="s">
        <v>496</v>
      </c>
      <c r="S40" s="52" t="s">
        <v>44</v>
      </c>
    </row>
    <row r="41" spans="1:19" ht="13.5" customHeight="1" x14ac:dyDescent="0.2">
      <c r="A41" s="412"/>
      <c r="B41" s="413"/>
      <c r="C41" s="412"/>
      <c r="D41" s="414"/>
      <c r="E41" s="415"/>
      <c r="F41" s="416"/>
      <c r="G41" s="417"/>
      <c r="H41" s="270"/>
      <c r="I41" s="418"/>
      <c r="J41" s="416"/>
      <c r="K41" s="419" t="s">
        <v>21</v>
      </c>
      <c r="L41" s="46" t="s">
        <v>271</v>
      </c>
      <c r="M41" s="420" t="s">
        <v>272</v>
      </c>
      <c r="N41" s="421">
        <v>8</v>
      </c>
      <c r="O41" s="421">
        <v>8</v>
      </c>
      <c r="P41" s="421">
        <v>8</v>
      </c>
      <c r="Q41" s="422">
        <v>1.2</v>
      </c>
      <c r="R41" s="422" t="s">
        <v>496</v>
      </c>
      <c r="S41" s="52" t="s">
        <v>44</v>
      </c>
    </row>
    <row r="42" spans="1:19" ht="13.5" customHeight="1" x14ac:dyDescent="0.2">
      <c r="A42" s="412"/>
      <c r="B42" s="413"/>
      <c r="C42" s="412"/>
      <c r="D42" s="414"/>
      <c r="E42" s="415"/>
      <c r="F42" s="416"/>
      <c r="G42" s="417"/>
      <c r="H42" s="270"/>
      <c r="I42" s="418"/>
      <c r="J42" s="416"/>
      <c r="K42" s="419" t="s">
        <v>23</v>
      </c>
      <c r="L42" s="46" t="s">
        <v>273</v>
      </c>
      <c r="M42" s="420" t="s">
        <v>274</v>
      </c>
      <c r="N42" s="421">
        <v>4</v>
      </c>
      <c r="O42" s="421">
        <v>4</v>
      </c>
      <c r="P42" s="421">
        <v>4</v>
      </c>
      <c r="Q42" s="422">
        <v>30</v>
      </c>
      <c r="R42" s="422" t="s">
        <v>496</v>
      </c>
      <c r="S42" s="52" t="s">
        <v>44</v>
      </c>
    </row>
    <row r="43" spans="1:19" ht="13.5" customHeight="1" x14ac:dyDescent="0.2">
      <c r="A43" s="412"/>
      <c r="B43" s="413"/>
      <c r="C43" s="412"/>
      <c r="D43" s="414"/>
      <c r="E43" s="415"/>
      <c r="F43" s="416"/>
      <c r="G43" s="417"/>
      <c r="H43" s="270"/>
      <c r="I43" s="418"/>
      <c r="J43" s="416"/>
      <c r="K43" s="419" t="s">
        <v>26</v>
      </c>
      <c r="L43" s="46" t="s">
        <v>275</v>
      </c>
      <c r="M43" s="420" t="s">
        <v>687</v>
      </c>
      <c r="N43" s="421">
        <v>4</v>
      </c>
      <c r="O43" s="421">
        <v>4</v>
      </c>
      <c r="P43" s="421">
        <v>4</v>
      </c>
      <c r="Q43" s="422">
        <v>6</v>
      </c>
      <c r="R43" s="422" t="s">
        <v>496</v>
      </c>
      <c r="S43" s="52" t="s">
        <v>44</v>
      </c>
    </row>
    <row r="44" spans="1:19" ht="13.5" customHeight="1" x14ac:dyDescent="0.2">
      <c r="A44" s="412"/>
      <c r="B44" s="413"/>
      <c r="C44" s="412"/>
      <c r="D44" s="414"/>
      <c r="E44" s="415"/>
      <c r="F44" s="416"/>
      <c r="G44" s="417"/>
      <c r="H44" s="270"/>
      <c r="I44" s="418"/>
      <c r="J44" s="416"/>
      <c r="K44" s="419" t="s">
        <v>29</v>
      </c>
      <c r="L44" s="46" t="s">
        <v>132</v>
      </c>
      <c r="M44" s="420" t="s">
        <v>276</v>
      </c>
      <c r="N44" s="421">
        <v>8</v>
      </c>
      <c r="O44" s="421">
        <v>8</v>
      </c>
      <c r="P44" s="421">
        <v>8</v>
      </c>
      <c r="Q44" s="422">
        <v>3</v>
      </c>
      <c r="R44" s="422" t="s">
        <v>496</v>
      </c>
      <c r="S44" s="52" t="s">
        <v>44</v>
      </c>
    </row>
    <row r="45" spans="1:19" ht="13.5" customHeight="1" x14ac:dyDescent="0.2">
      <c r="A45" s="412"/>
      <c r="B45" s="413"/>
      <c r="C45" s="412"/>
      <c r="D45" s="414"/>
      <c r="E45" s="415"/>
      <c r="F45" s="416"/>
      <c r="G45" s="417"/>
      <c r="H45" s="270"/>
      <c r="I45" s="418"/>
      <c r="J45" s="416"/>
      <c r="K45" s="419" t="s">
        <v>32</v>
      </c>
      <c r="L45" s="206" t="s">
        <v>277</v>
      </c>
      <c r="M45" s="420" t="s">
        <v>278</v>
      </c>
      <c r="N45" s="421">
        <v>2</v>
      </c>
      <c r="O45" s="421">
        <v>2</v>
      </c>
      <c r="P45" s="421">
        <v>2</v>
      </c>
      <c r="Q45" s="422">
        <v>0.4</v>
      </c>
      <c r="R45" s="422" t="s">
        <v>496</v>
      </c>
      <c r="S45" s="52" t="s">
        <v>44</v>
      </c>
    </row>
    <row r="46" spans="1:19" ht="13.5" customHeight="1" x14ac:dyDescent="0.2">
      <c r="A46" s="412"/>
      <c r="B46" s="413"/>
      <c r="C46" s="412"/>
      <c r="D46" s="414"/>
      <c r="E46" s="415"/>
      <c r="F46" s="416"/>
      <c r="G46" s="417"/>
      <c r="H46" s="270"/>
      <c r="I46" s="418"/>
      <c r="J46" s="416"/>
      <c r="K46" s="419" t="s">
        <v>35</v>
      </c>
      <c r="L46" s="46" t="s">
        <v>279</v>
      </c>
      <c r="M46" s="420" t="s">
        <v>280</v>
      </c>
      <c r="N46" s="421">
        <v>4</v>
      </c>
      <c r="O46" s="421">
        <v>4</v>
      </c>
      <c r="P46" s="421">
        <v>4</v>
      </c>
      <c r="Q46" s="422">
        <v>4</v>
      </c>
      <c r="R46" s="422" t="s">
        <v>518</v>
      </c>
      <c r="S46" s="52" t="s">
        <v>44</v>
      </c>
    </row>
    <row r="47" spans="1:19" ht="13.5" customHeight="1" x14ac:dyDescent="0.2">
      <c r="A47" s="412"/>
      <c r="B47" s="413"/>
      <c r="C47" s="412"/>
      <c r="D47" s="414"/>
      <c r="E47" s="415"/>
      <c r="F47" s="416"/>
      <c r="G47" s="417"/>
      <c r="H47" s="270"/>
      <c r="I47" s="418"/>
      <c r="J47" s="416"/>
      <c r="K47" s="419" t="s">
        <v>37</v>
      </c>
      <c r="L47" s="46" t="s">
        <v>281</v>
      </c>
      <c r="M47" s="420" t="s">
        <v>282</v>
      </c>
      <c r="N47" s="421">
        <v>4</v>
      </c>
      <c r="O47" s="421">
        <v>4</v>
      </c>
      <c r="P47" s="421">
        <v>4</v>
      </c>
      <c r="Q47" s="422">
        <v>2.4</v>
      </c>
      <c r="R47" s="422" t="s">
        <v>496</v>
      </c>
      <c r="S47" s="52" t="s">
        <v>44</v>
      </c>
    </row>
    <row r="48" spans="1:19" ht="13.5" customHeight="1" x14ac:dyDescent="0.2">
      <c r="A48" s="412"/>
      <c r="B48" s="413"/>
      <c r="C48" s="412"/>
      <c r="D48" s="414"/>
      <c r="E48" s="415"/>
      <c r="F48" s="416"/>
      <c r="G48" s="417"/>
      <c r="H48" s="270"/>
      <c r="I48" s="418"/>
      <c r="J48" s="416"/>
      <c r="K48" s="419" t="s">
        <v>40</v>
      </c>
      <c r="L48" s="46" t="s">
        <v>283</v>
      </c>
      <c r="M48" s="420" t="s">
        <v>284</v>
      </c>
      <c r="N48" s="421">
        <v>60</v>
      </c>
      <c r="O48" s="421">
        <v>60</v>
      </c>
      <c r="P48" s="421">
        <v>60</v>
      </c>
      <c r="Q48" s="422">
        <v>60</v>
      </c>
      <c r="R48" s="422" t="s">
        <v>518</v>
      </c>
      <c r="S48" s="52" t="s">
        <v>44</v>
      </c>
    </row>
    <row r="49" spans="1:19" ht="13.5" customHeight="1" x14ac:dyDescent="0.2">
      <c r="A49" s="412"/>
      <c r="B49" s="413"/>
      <c r="C49" s="412"/>
      <c r="D49" s="414"/>
      <c r="E49" s="415"/>
      <c r="F49" s="416"/>
      <c r="G49" s="417"/>
      <c r="H49" s="270"/>
      <c r="I49" s="418"/>
      <c r="J49" s="416"/>
      <c r="K49" s="419" t="s">
        <v>51</v>
      </c>
      <c r="L49" s="46" t="s">
        <v>285</v>
      </c>
      <c r="M49" s="420" t="s">
        <v>286</v>
      </c>
      <c r="N49" s="421">
        <v>2</v>
      </c>
      <c r="O49" s="421">
        <v>2</v>
      </c>
      <c r="P49" s="421">
        <v>2</v>
      </c>
      <c r="Q49" s="422">
        <v>14</v>
      </c>
      <c r="R49" s="422" t="s">
        <v>496</v>
      </c>
      <c r="S49" s="52" t="s">
        <v>44</v>
      </c>
    </row>
    <row r="50" spans="1:19" ht="13.5" customHeight="1" x14ac:dyDescent="0.2">
      <c r="A50" s="412"/>
      <c r="B50" s="413"/>
      <c r="C50" s="412"/>
      <c r="D50" s="414"/>
      <c r="E50" s="415"/>
      <c r="F50" s="416"/>
      <c r="G50" s="417"/>
      <c r="H50" s="270"/>
      <c r="I50" s="418"/>
      <c r="J50" s="416"/>
      <c r="K50" s="419" t="s">
        <v>52</v>
      </c>
      <c r="L50" s="46" t="s">
        <v>287</v>
      </c>
      <c r="M50" s="420" t="s">
        <v>288</v>
      </c>
      <c r="N50" s="421">
        <v>6</v>
      </c>
      <c r="O50" s="421">
        <v>6</v>
      </c>
      <c r="P50" s="421">
        <v>6</v>
      </c>
      <c r="Q50" s="422">
        <v>6</v>
      </c>
      <c r="R50" s="422" t="s">
        <v>518</v>
      </c>
      <c r="S50" s="52" t="s">
        <v>44</v>
      </c>
    </row>
    <row r="51" spans="1:19" ht="13.5" customHeight="1" x14ac:dyDescent="0.2">
      <c r="A51" s="412"/>
      <c r="B51" s="413"/>
      <c r="C51" s="412"/>
      <c r="D51" s="414"/>
      <c r="E51" s="415"/>
      <c r="F51" s="416"/>
      <c r="G51" s="417"/>
      <c r="H51" s="270"/>
      <c r="I51" s="418"/>
      <c r="J51" s="416"/>
      <c r="K51" s="419" t="s">
        <v>53</v>
      </c>
      <c r="L51" s="46" t="s">
        <v>289</v>
      </c>
      <c r="M51" s="420" t="s">
        <v>290</v>
      </c>
      <c r="N51" s="421">
        <v>6</v>
      </c>
      <c r="O51" s="421">
        <v>6</v>
      </c>
      <c r="P51" s="421">
        <v>6</v>
      </c>
      <c r="Q51" s="422">
        <v>6</v>
      </c>
      <c r="R51" s="422" t="s">
        <v>518</v>
      </c>
      <c r="S51" s="52" t="s">
        <v>44</v>
      </c>
    </row>
    <row r="52" spans="1:19" ht="13.5" customHeight="1" x14ac:dyDescent="0.2">
      <c r="A52" s="412"/>
      <c r="B52" s="413"/>
      <c r="C52" s="412"/>
      <c r="D52" s="414"/>
      <c r="E52" s="415"/>
      <c r="F52" s="416"/>
      <c r="G52" s="417" t="s">
        <v>255</v>
      </c>
      <c r="H52" s="271" t="s">
        <v>291</v>
      </c>
      <c r="I52" s="416" t="s">
        <v>19</v>
      </c>
      <c r="J52" s="416" t="s">
        <v>19</v>
      </c>
      <c r="K52" s="419" t="s">
        <v>57</v>
      </c>
      <c r="L52" s="46" t="s">
        <v>292</v>
      </c>
      <c r="M52" s="420" t="s">
        <v>293</v>
      </c>
      <c r="N52" s="421">
        <v>1</v>
      </c>
      <c r="O52" s="421">
        <v>1</v>
      </c>
      <c r="P52" s="421">
        <v>1</v>
      </c>
      <c r="Q52" s="422">
        <v>2.2999999999999998</v>
      </c>
      <c r="R52" s="422" t="s">
        <v>496</v>
      </c>
      <c r="S52" s="423" t="s">
        <v>44</v>
      </c>
    </row>
    <row r="53" spans="1:19" ht="13.5" customHeight="1" x14ac:dyDescent="0.2">
      <c r="A53" s="412"/>
      <c r="B53" s="413"/>
      <c r="C53" s="412"/>
      <c r="D53" s="414"/>
      <c r="E53" s="415"/>
      <c r="F53" s="416"/>
      <c r="G53" s="417"/>
      <c r="H53" s="271"/>
      <c r="I53" s="416"/>
      <c r="J53" s="416"/>
      <c r="K53" s="419" t="s">
        <v>58</v>
      </c>
      <c r="L53" s="46" t="s">
        <v>294</v>
      </c>
      <c r="M53" s="420" t="s">
        <v>295</v>
      </c>
      <c r="N53" s="421">
        <v>1</v>
      </c>
      <c r="O53" s="421">
        <v>1</v>
      </c>
      <c r="P53" s="421">
        <v>1</v>
      </c>
      <c r="Q53" s="422">
        <v>1.3</v>
      </c>
      <c r="R53" s="422" t="s">
        <v>496</v>
      </c>
      <c r="S53" s="52" t="s">
        <v>44</v>
      </c>
    </row>
    <row r="54" spans="1:19" ht="13.5" customHeight="1" x14ac:dyDescent="0.2">
      <c r="A54" s="412"/>
      <c r="B54" s="413"/>
      <c r="C54" s="412"/>
      <c r="D54" s="414"/>
      <c r="E54" s="415"/>
      <c r="F54" s="416"/>
      <c r="G54" s="417"/>
      <c r="H54" s="271"/>
      <c r="I54" s="416"/>
      <c r="J54" s="416"/>
      <c r="K54" s="419" t="s">
        <v>65</v>
      </c>
      <c r="L54" s="46" t="s">
        <v>296</v>
      </c>
      <c r="M54" s="420" t="s">
        <v>297</v>
      </c>
      <c r="N54" s="421">
        <v>1</v>
      </c>
      <c r="O54" s="421">
        <v>1</v>
      </c>
      <c r="P54" s="421">
        <v>1</v>
      </c>
      <c r="Q54" s="422">
        <v>1.5</v>
      </c>
      <c r="R54" s="422" t="s">
        <v>496</v>
      </c>
      <c r="S54" s="52" t="s">
        <v>44</v>
      </c>
    </row>
    <row r="55" spans="1:19" ht="13.5" customHeight="1" x14ac:dyDescent="0.2">
      <c r="A55" s="412"/>
      <c r="B55" s="413"/>
      <c r="C55" s="412"/>
      <c r="D55" s="414"/>
      <c r="E55" s="415"/>
      <c r="F55" s="416"/>
      <c r="G55" s="417"/>
      <c r="H55" s="271"/>
      <c r="I55" s="416"/>
      <c r="J55" s="416"/>
      <c r="K55" s="419" t="s">
        <v>66</v>
      </c>
      <c r="L55" s="46" t="s">
        <v>298</v>
      </c>
      <c r="M55" s="420" t="s">
        <v>288</v>
      </c>
      <c r="N55" s="421">
        <v>4</v>
      </c>
      <c r="O55" s="421">
        <v>4</v>
      </c>
      <c r="P55" s="421">
        <v>4</v>
      </c>
      <c r="Q55" s="422">
        <v>4</v>
      </c>
      <c r="R55" s="422" t="s">
        <v>518</v>
      </c>
      <c r="S55" s="52" t="s">
        <v>44</v>
      </c>
    </row>
    <row r="56" spans="1:19" ht="13.5" customHeight="1" x14ac:dyDescent="0.2">
      <c r="A56" s="412"/>
      <c r="B56" s="413"/>
      <c r="C56" s="412"/>
      <c r="D56" s="414"/>
      <c r="E56" s="415"/>
      <c r="F56" s="416"/>
      <c r="G56" s="417"/>
      <c r="H56" s="271"/>
      <c r="I56" s="416"/>
      <c r="J56" s="416"/>
      <c r="K56" s="419" t="s">
        <v>67</v>
      </c>
      <c r="L56" s="46" t="s">
        <v>299</v>
      </c>
      <c r="M56" s="420" t="s">
        <v>290</v>
      </c>
      <c r="N56" s="421">
        <v>4</v>
      </c>
      <c r="O56" s="421">
        <v>4</v>
      </c>
      <c r="P56" s="421">
        <v>4</v>
      </c>
      <c r="Q56" s="424">
        <v>4</v>
      </c>
      <c r="R56" s="422" t="s">
        <v>518</v>
      </c>
      <c r="S56" s="52" t="s">
        <v>44</v>
      </c>
    </row>
    <row r="57" spans="1:19" ht="13.5" customHeight="1" x14ac:dyDescent="0.2">
      <c r="A57" s="412"/>
      <c r="B57" s="413"/>
      <c r="C57" s="412"/>
      <c r="D57" s="414"/>
      <c r="E57" s="415"/>
      <c r="F57" s="416"/>
      <c r="G57" s="417" t="s">
        <v>258</v>
      </c>
      <c r="H57" s="271" t="s">
        <v>300</v>
      </c>
      <c r="I57" s="416" t="s">
        <v>19</v>
      </c>
      <c r="J57" s="416" t="s">
        <v>19</v>
      </c>
      <c r="K57" s="419" t="s">
        <v>69</v>
      </c>
      <c r="L57" s="46" t="s">
        <v>301</v>
      </c>
      <c r="M57" s="23" t="s">
        <v>302</v>
      </c>
      <c r="N57" s="421">
        <v>18</v>
      </c>
      <c r="O57" s="421">
        <v>18</v>
      </c>
      <c r="P57" s="421">
        <v>18</v>
      </c>
      <c r="Q57" s="424">
        <v>18</v>
      </c>
      <c r="R57" s="422" t="s">
        <v>518</v>
      </c>
      <c r="S57" s="52" t="s">
        <v>44</v>
      </c>
    </row>
    <row r="58" spans="1:19" ht="13.5" customHeight="1" x14ac:dyDescent="0.2">
      <c r="A58" s="412"/>
      <c r="B58" s="413"/>
      <c r="C58" s="412"/>
      <c r="D58" s="414"/>
      <c r="E58" s="415"/>
      <c r="F58" s="416"/>
      <c r="G58" s="417"/>
      <c r="H58" s="271"/>
      <c r="I58" s="416"/>
      <c r="J58" s="416"/>
      <c r="K58" s="419" t="s">
        <v>70</v>
      </c>
      <c r="L58" s="46" t="s">
        <v>303</v>
      </c>
      <c r="M58" s="23" t="s">
        <v>85</v>
      </c>
      <c r="N58" s="421">
        <v>18</v>
      </c>
      <c r="O58" s="421">
        <v>18</v>
      </c>
      <c r="P58" s="421">
        <v>18</v>
      </c>
      <c r="Q58" s="424">
        <v>18</v>
      </c>
      <c r="R58" s="422" t="s">
        <v>518</v>
      </c>
      <c r="S58" s="52" t="s">
        <v>44</v>
      </c>
    </row>
    <row r="59" spans="1:19" ht="13.5" customHeight="1" x14ac:dyDescent="0.2">
      <c r="A59" s="412"/>
      <c r="B59" s="413"/>
      <c r="C59" s="412"/>
      <c r="D59" s="414"/>
      <c r="E59" s="415"/>
      <c r="F59" s="416"/>
      <c r="G59" s="417"/>
      <c r="H59" s="271"/>
      <c r="I59" s="416"/>
      <c r="J59" s="416"/>
      <c r="K59" s="419" t="s">
        <v>77</v>
      </c>
      <c r="L59" s="46" t="s">
        <v>304</v>
      </c>
      <c r="M59" s="23" t="s">
        <v>305</v>
      </c>
      <c r="N59" s="425">
        <v>4</v>
      </c>
      <c r="O59" s="425">
        <v>4</v>
      </c>
      <c r="P59" s="425">
        <v>4</v>
      </c>
      <c r="Q59" s="424">
        <v>4</v>
      </c>
      <c r="R59" s="422" t="s">
        <v>518</v>
      </c>
      <c r="S59" s="426" t="s">
        <v>44</v>
      </c>
    </row>
    <row r="60" spans="1:19" s="54" customFormat="1" ht="15.75" x14ac:dyDescent="0.2">
      <c r="I60" s="5"/>
      <c r="J60" s="5"/>
      <c r="K60" s="55"/>
      <c r="L60" s="56"/>
      <c r="M60" s="57"/>
      <c r="N60" s="57"/>
      <c r="O60" s="58"/>
      <c r="P60" s="59"/>
      <c r="Q60" s="59"/>
      <c r="R60" s="59"/>
    </row>
    <row r="61" spans="1:19" s="54" customFormat="1" ht="15.75" x14ac:dyDescent="0.2">
      <c r="K61" s="55"/>
      <c r="L61" s="56"/>
      <c r="M61" s="57"/>
      <c r="N61" s="57"/>
      <c r="O61" s="58"/>
      <c r="P61" s="59"/>
      <c r="Q61" s="59"/>
      <c r="R61" s="59"/>
    </row>
    <row r="62" spans="1:19" s="54" customFormat="1" ht="15.75" x14ac:dyDescent="0.2">
      <c r="K62" s="55"/>
      <c r="L62" s="56"/>
      <c r="M62" s="57"/>
      <c r="N62" s="57"/>
      <c r="O62" s="58"/>
      <c r="P62" s="59"/>
      <c r="Q62" s="59"/>
      <c r="R62" s="59"/>
    </row>
    <row r="63" spans="1:19" s="54" customFormat="1" ht="15.75" x14ac:dyDescent="0.2">
      <c r="K63" s="55"/>
      <c r="L63" s="56"/>
      <c r="M63" s="57"/>
      <c r="N63" s="57"/>
      <c r="O63" s="58"/>
      <c r="P63" s="58"/>
      <c r="Q63" s="58"/>
      <c r="R63" s="58"/>
    </row>
    <row r="71" spans="1:19" ht="19.5" x14ac:dyDescent="0.2">
      <c r="A71" s="259" t="s">
        <v>0</v>
      </c>
      <c r="B71" s="260"/>
      <c r="C71" s="11"/>
      <c r="D71" s="12"/>
      <c r="E71" s="12" t="s">
        <v>14</v>
      </c>
      <c r="F71" s="13"/>
      <c r="G71" s="12"/>
      <c r="H71" s="12" t="s">
        <v>13</v>
      </c>
      <c r="I71" s="12"/>
      <c r="J71" s="13"/>
      <c r="K71" s="11"/>
      <c r="L71" s="12"/>
      <c r="M71" s="6" t="s">
        <v>1</v>
      </c>
      <c r="N71" s="12"/>
      <c r="O71" s="12"/>
      <c r="P71" s="12"/>
      <c r="Q71" s="21"/>
      <c r="R71" s="21"/>
      <c r="S71" s="17" t="s">
        <v>15</v>
      </c>
    </row>
    <row r="72" spans="1:19" ht="45" x14ac:dyDescent="0.2">
      <c r="A72" s="20" t="s">
        <v>2</v>
      </c>
      <c r="B72" s="3" t="s">
        <v>3</v>
      </c>
      <c r="C72" s="14" t="s">
        <v>4</v>
      </c>
      <c r="D72" s="15" t="s">
        <v>5</v>
      </c>
      <c r="E72" s="14" t="s">
        <v>6</v>
      </c>
      <c r="F72" s="14" t="s">
        <v>3</v>
      </c>
      <c r="G72" s="3" t="s">
        <v>10</v>
      </c>
      <c r="H72" s="3" t="s">
        <v>5</v>
      </c>
      <c r="I72" s="3" t="s">
        <v>12</v>
      </c>
      <c r="J72" s="3" t="s">
        <v>11</v>
      </c>
      <c r="K72" s="1" t="s">
        <v>7</v>
      </c>
      <c r="L72" s="2" t="s">
        <v>5</v>
      </c>
      <c r="M72" s="2" t="s">
        <v>9</v>
      </c>
      <c r="N72" s="3" t="s">
        <v>8</v>
      </c>
      <c r="O72" s="3" t="s">
        <v>6</v>
      </c>
      <c r="P72" s="16" t="s">
        <v>3</v>
      </c>
      <c r="Q72" s="16" t="s">
        <v>686</v>
      </c>
      <c r="R72" s="16" t="s">
        <v>18</v>
      </c>
      <c r="S72" s="2" t="s">
        <v>16</v>
      </c>
    </row>
    <row r="73" spans="1:19" ht="13.5" customHeight="1" x14ac:dyDescent="0.2">
      <c r="A73" s="427" t="s">
        <v>249</v>
      </c>
      <c r="B73" s="428" t="s">
        <v>19</v>
      </c>
      <c r="C73" s="427" t="s">
        <v>258</v>
      </c>
      <c r="D73" s="427" t="s">
        <v>306</v>
      </c>
      <c r="E73" s="428" t="s">
        <v>19</v>
      </c>
      <c r="F73" s="428" t="s">
        <v>19</v>
      </c>
      <c r="G73" s="429" t="s">
        <v>250</v>
      </c>
      <c r="H73" s="255" t="s">
        <v>307</v>
      </c>
      <c r="I73" s="430">
        <v>1</v>
      </c>
      <c r="J73" s="431" t="s">
        <v>19</v>
      </c>
      <c r="K73" s="419" t="s">
        <v>19</v>
      </c>
      <c r="L73" s="51" t="s">
        <v>308</v>
      </c>
      <c r="M73" s="421" t="s">
        <v>309</v>
      </c>
      <c r="N73" s="421">
        <v>1</v>
      </c>
      <c r="O73" s="421">
        <v>1</v>
      </c>
      <c r="P73" s="421">
        <v>1</v>
      </c>
      <c r="Q73" s="424">
        <v>1.4</v>
      </c>
      <c r="R73" s="424" t="s">
        <v>496</v>
      </c>
      <c r="S73" s="52" t="s">
        <v>44</v>
      </c>
    </row>
    <row r="74" spans="1:19" ht="13.5" customHeight="1" x14ac:dyDescent="0.2">
      <c r="A74" s="432"/>
      <c r="B74" s="433"/>
      <c r="C74" s="432"/>
      <c r="D74" s="432"/>
      <c r="E74" s="433"/>
      <c r="F74" s="433"/>
      <c r="G74" s="429"/>
      <c r="H74" s="255"/>
      <c r="I74" s="430"/>
      <c r="J74" s="431"/>
      <c r="K74" s="419" t="s">
        <v>21</v>
      </c>
      <c r="L74" s="51" t="s">
        <v>310</v>
      </c>
      <c r="M74" s="421" t="s">
        <v>311</v>
      </c>
      <c r="N74" s="421">
        <v>2</v>
      </c>
      <c r="O74" s="421">
        <v>2</v>
      </c>
      <c r="P74" s="421">
        <v>2</v>
      </c>
      <c r="Q74" s="424">
        <v>0.5</v>
      </c>
      <c r="R74" s="424" t="s">
        <v>496</v>
      </c>
      <c r="S74" s="52" t="s">
        <v>44</v>
      </c>
    </row>
    <row r="75" spans="1:19" ht="13.5" customHeight="1" x14ac:dyDescent="0.2">
      <c r="A75" s="432"/>
      <c r="B75" s="433"/>
      <c r="C75" s="432"/>
      <c r="D75" s="432"/>
      <c r="E75" s="433"/>
      <c r="F75" s="433"/>
      <c r="G75" s="429"/>
      <c r="H75" s="255"/>
      <c r="I75" s="430"/>
      <c r="J75" s="431"/>
      <c r="K75" s="419" t="s">
        <v>23</v>
      </c>
      <c r="L75" s="51" t="s">
        <v>312</v>
      </c>
      <c r="M75" s="421" t="s">
        <v>313</v>
      </c>
      <c r="N75" s="421">
        <v>1</v>
      </c>
      <c r="O75" s="421">
        <v>1</v>
      </c>
      <c r="P75" s="421">
        <v>1</v>
      </c>
      <c r="Q75" s="424">
        <v>1.2</v>
      </c>
      <c r="R75" s="424" t="s">
        <v>496</v>
      </c>
      <c r="S75" s="52" t="s">
        <v>44</v>
      </c>
    </row>
    <row r="76" spans="1:19" ht="13.5" customHeight="1" x14ac:dyDescent="0.2">
      <c r="A76" s="432"/>
      <c r="B76" s="433"/>
      <c r="C76" s="432"/>
      <c r="D76" s="432"/>
      <c r="E76" s="433"/>
      <c r="F76" s="433"/>
      <c r="G76" s="429"/>
      <c r="H76" s="255"/>
      <c r="I76" s="430"/>
      <c r="J76" s="431"/>
      <c r="K76" s="419" t="s">
        <v>26</v>
      </c>
      <c r="L76" s="51" t="s">
        <v>314</v>
      </c>
      <c r="M76" s="421" t="s">
        <v>315</v>
      </c>
      <c r="N76" s="421">
        <v>2</v>
      </c>
      <c r="O76" s="421">
        <v>2</v>
      </c>
      <c r="P76" s="421">
        <v>2</v>
      </c>
      <c r="Q76" s="424">
        <v>1.1000000000000001</v>
      </c>
      <c r="R76" s="424" t="s">
        <v>496</v>
      </c>
      <c r="S76" s="52" t="s">
        <v>44</v>
      </c>
    </row>
    <row r="77" spans="1:19" ht="13.5" customHeight="1" x14ac:dyDescent="0.2">
      <c r="A77" s="432"/>
      <c r="B77" s="433"/>
      <c r="C77" s="432"/>
      <c r="D77" s="432"/>
      <c r="E77" s="433"/>
      <c r="F77" s="433"/>
      <c r="G77" s="429"/>
      <c r="H77" s="255"/>
      <c r="I77" s="430"/>
      <c r="J77" s="431"/>
      <c r="K77" s="419" t="s">
        <v>29</v>
      </c>
      <c r="L77" s="51" t="s">
        <v>316</v>
      </c>
      <c r="M77" s="434" t="s">
        <v>688</v>
      </c>
      <c r="N77" s="421">
        <v>4</v>
      </c>
      <c r="O77" s="421">
        <v>4</v>
      </c>
      <c r="P77" s="421">
        <v>4</v>
      </c>
      <c r="Q77" s="424">
        <v>0.04</v>
      </c>
      <c r="R77" s="424" t="s">
        <v>496</v>
      </c>
      <c r="S77" s="52" t="s">
        <v>44</v>
      </c>
    </row>
    <row r="78" spans="1:19" ht="13.5" customHeight="1" x14ac:dyDescent="0.2">
      <c r="A78" s="432"/>
      <c r="B78" s="433"/>
      <c r="C78" s="432"/>
      <c r="D78" s="432"/>
      <c r="E78" s="433"/>
      <c r="F78" s="433"/>
      <c r="G78" s="429"/>
      <c r="H78" s="255"/>
      <c r="I78" s="430"/>
      <c r="J78" s="431"/>
      <c r="K78" s="419" t="s">
        <v>32</v>
      </c>
      <c r="L78" s="51" t="s">
        <v>317</v>
      </c>
      <c r="M78" s="420" t="s">
        <v>689</v>
      </c>
      <c r="N78" s="421">
        <v>4</v>
      </c>
      <c r="O78" s="421">
        <v>4</v>
      </c>
      <c r="P78" s="421">
        <v>4</v>
      </c>
      <c r="Q78" s="424">
        <v>0.28000000000000003</v>
      </c>
      <c r="R78" s="424" t="s">
        <v>496</v>
      </c>
      <c r="S78" s="52" t="s">
        <v>44</v>
      </c>
    </row>
    <row r="79" spans="1:19" ht="13.5" customHeight="1" x14ac:dyDescent="0.2">
      <c r="A79" s="432"/>
      <c r="B79" s="433"/>
      <c r="C79" s="432"/>
      <c r="D79" s="432"/>
      <c r="E79" s="433"/>
      <c r="F79" s="433"/>
      <c r="G79" s="429"/>
      <c r="H79" s="255"/>
      <c r="I79" s="430"/>
      <c r="J79" s="431"/>
      <c r="K79" s="419" t="s">
        <v>35</v>
      </c>
      <c r="L79" s="51" t="s">
        <v>318</v>
      </c>
      <c r="M79" s="435" t="s">
        <v>319</v>
      </c>
      <c r="N79" s="421">
        <v>4</v>
      </c>
      <c r="O79" s="421">
        <v>4</v>
      </c>
      <c r="P79" s="421">
        <v>4</v>
      </c>
      <c r="Q79" s="424">
        <v>4</v>
      </c>
      <c r="R79" s="424" t="s">
        <v>518</v>
      </c>
      <c r="S79" s="52" t="s">
        <v>44</v>
      </c>
    </row>
    <row r="80" spans="1:19" ht="13.5" customHeight="1" x14ac:dyDescent="0.2">
      <c r="A80" s="432"/>
      <c r="B80" s="433"/>
      <c r="C80" s="432"/>
      <c r="D80" s="432"/>
      <c r="E80" s="433"/>
      <c r="F80" s="433"/>
      <c r="G80" s="429"/>
      <c r="H80" s="255"/>
      <c r="I80" s="430"/>
      <c r="J80" s="431"/>
      <c r="K80" s="419" t="s">
        <v>37</v>
      </c>
      <c r="L80" s="51" t="s">
        <v>320</v>
      </c>
      <c r="M80" s="435" t="s">
        <v>321</v>
      </c>
      <c r="N80" s="421">
        <v>12</v>
      </c>
      <c r="O80" s="421">
        <v>12</v>
      </c>
      <c r="P80" s="421">
        <v>12</v>
      </c>
      <c r="Q80" s="424">
        <v>12</v>
      </c>
      <c r="R80" s="424" t="s">
        <v>518</v>
      </c>
      <c r="S80" s="52" t="s">
        <v>44</v>
      </c>
    </row>
    <row r="81" spans="1:19" ht="13.5" customHeight="1" x14ac:dyDescent="0.2">
      <c r="A81" s="432"/>
      <c r="B81" s="433"/>
      <c r="C81" s="432"/>
      <c r="D81" s="432"/>
      <c r="E81" s="433"/>
      <c r="F81" s="433"/>
      <c r="G81" s="429"/>
      <c r="H81" s="255"/>
      <c r="I81" s="430"/>
      <c r="J81" s="431"/>
      <c r="K81" s="419" t="s">
        <v>40</v>
      </c>
      <c r="L81" s="51" t="s">
        <v>322</v>
      </c>
      <c r="M81" s="435" t="s">
        <v>75</v>
      </c>
      <c r="N81" s="421">
        <v>12</v>
      </c>
      <c r="O81" s="421">
        <v>12</v>
      </c>
      <c r="P81" s="421">
        <v>12</v>
      </c>
      <c r="Q81" s="424">
        <v>12</v>
      </c>
      <c r="R81" s="424" t="s">
        <v>518</v>
      </c>
      <c r="S81" s="52" t="s">
        <v>44</v>
      </c>
    </row>
    <row r="82" spans="1:19" ht="13.5" customHeight="1" x14ac:dyDescent="0.2">
      <c r="A82" s="432"/>
      <c r="B82" s="433"/>
      <c r="C82" s="432"/>
      <c r="D82" s="432"/>
      <c r="E82" s="433"/>
      <c r="F82" s="433"/>
      <c r="G82" s="429"/>
      <c r="H82" s="255"/>
      <c r="I82" s="430"/>
      <c r="J82" s="431"/>
      <c r="K82" s="419" t="s">
        <v>51</v>
      </c>
      <c r="L82" s="51" t="s">
        <v>323</v>
      </c>
      <c r="M82" s="435" t="s">
        <v>324</v>
      </c>
      <c r="N82" s="421">
        <v>20</v>
      </c>
      <c r="O82" s="421">
        <v>20</v>
      </c>
      <c r="P82" s="421">
        <v>20</v>
      </c>
      <c r="Q82" s="424">
        <v>20</v>
      </c>
      <c r="R82" s="424" t="s">
        <v>518</v>
      </c>
      <c r="S82" s="52" t="s">
        <v>44</v>
      </c>
    </row>
    <row r="83" spans="1:19" ht="13.5" customHeight="1" x14ac:dyDescent="0.2">
      <c r="A83" s="432"/>
      <c r="B83" s="433"/>
      <c r="C83" s="432"/>
      <c r="D83" s="432"/>
      <c r="E83" s="433"/>
      <c r="F83" s="433"/>
      <c r="G83" s="412" t="s">
        <v>255</v>
      </c>
      <c r="H83" s="261" t="s">
        <v>325</v>
      </c>
      <c r="I83" s="413" t="s">
        <v>19</v>
      </c>
      <c r="J83" s="413" t="s">
        <v>19</v>
      </c>
      <c r="K83" s="419" t="s">
        <v>52</v>
      </c>
      <c r="L83" s="51" t="s">
        <v>326</v>
      </c>
      <c r="M83" s="435" t="s">
        <v>313</v>
      </c>
      <c r="N83" s="421">
        <v>1</v>
      </c>
      <c r="O83" s="421">
        <v>1</v>
      </c>
      <c r="P83" s="421">
        <v>1</v>
      </c>
      <c r="Q83" s="424">
        <v>1.2</v>
      </c>
      <c r="R83" s="424" t="s">
        <v>496</v>
      </c>
      <c r="S83" s="52" t="s">
        <v>44</v>
      </c>
    </row>
    <row r="84" spans="1:19" ht="13.5" customHeight="1" x14ac:dyDescent="0.2">
      <c r="A84" s="432"/>
      <c r="B84" s="433"/>
      <c r="C84" s="432"/>
      <c r="D84" s="432"/>
      <c r="E84" s="433"/>
      <c r="F84" s="433"/>
      <c r="G84" s="412"/>
      <c r="H84" s="261"/>
      <c r="I84" s="413"/>
      <c r="J84" s="413"/>
      <c r="K84" s="419" t="s">
        <v>53</v>
      </c>
      <c r="L84" s="51" t="s">
        <v>327</v>
      </c>
      <c r="M84" s="435" t="s">
        <v>313</v>
      </c>
      <c r="N84" s="421">
        <v>1</v>
      </c>
      <c r="O84" s="421">
        <v>1</v>
      </c>
      <c r="P84" s="421">
        <v>1</v>
      </c>
      <c r="Q84" s="421">
        <v>1.2</v>
      </c>
      <c r="R84" s="424" t="s">
        <v>496</v>
      </c>
      <c r="S84" s="52" t="s">
        <v>44</v>
      </c>
    </row>
    <row r="85" spans="1:19" ht="13.5" customHeight="1" x14ac:dyDescent="0.2">
      <c r="A85" s="432"/>
      <c r="B85" s="433"/>
      <c r="C85" s="432"/>
      <c r="D85" s="432"/>
      <c r="E85" s="433"/>
      <c r="F85" s="433"/>
      <c r="G85" s="412"/>
      <c r="H85" s="261"/>
      <c r="I85" s="413"/>
      <c r="J85" s="413"/>
      <c r="K85" s="419" t="s">
        <v>57</v>
      </c>
      <c r="L85" s="51" t="s">
        <v>328</v>
      </c>
      <c r="M85" s="434" t="s">
        <v>688</v>
      </c>
      <c r="N85" s="421">
        <v>4</v>
      </c>
      <c r="O85" s="421">
        <v>4</v>
      </c>
      <c r="P85" s="421">
        <v>4</v>
      </c>
      <c r="Q85" s="421">
        <v>0.04</v>
      </c>
      <c r="R85" s="424" t="s">
        <v>496</v>
      </c>
      <c r="S85" s="52" t="s">
        <v>44</v>
      </c>
    </row>
    <row r="86" spans="1:19" ht="13.5" customHeight="1" x14ac:dyDescent="0.2">
      <c r="A86" s="432"/>
      <c r="B86" s="433"/>
      <c r="C86" s="432"/>
      <c r="D86" s="432"/>
      <c r="E86" s="433"/>
      <c r="F86" s="433"/>
      <c r="G86" s="412"/>
      <c r="H86" s="261"/>
      <c r="I86" s="413"/>
      <c r="J86" s="413"/>
      <c r="K86" s="419" t="s">
        <v>58</v>
      </c>
      <c r="L86" s="51" t="s">
        <v>329</v>
      </c>
      <c r="M86" s="420" t="s">
        <v>689</v>
      </c>
      <c r="N86" s="421">
        <v>4</v>
      </c>
      <c r="O86" s="421">
        <v>4</v>
      </c>
      <c r="P86" s="421">
        <v>4</v>
      </c>
      <c r="Q86" s="421">
        <v>0.28000000000000003</v>
      </c>
      <c r="R86" s="424" t="s">
        <v>496</v>
      </c>
      <c r="S86" s="52" t="s">
        <v>44</v>
      </c>
    </row>
    <row r="87" spans="1:19" ht="13.5" customHeight="1" x14ac:dyDescent="0.2">
      <c r="A87" s="432"/>
      <c r="B87" s="433"/>
      <c r="C87" s="432"/>
      <c r="D87" s="432"/>
      <c r="E87" s="433"/>
      <c r="F87" s="433"/>
      <c r="G87" s="412"/>
      <c r="H87" s="261"/>
      <c r="I87" s="413"/>
      <c r="J87" s="413"/>
      <c r="K87" s="419" t="s">
        <v>65</v>
      </c>
      <c r="L87" s="51" t="s">
        <v>318</v>
      </c>
      <c r="M87" s="435" t="s">
        <v>319</v>
      </c>
      <c r="N87" s="421">
        <v>4</v>
      </c>
      <c r="O87" s="421">
        <v>4</v>
      </c>
      <c r="P87" s="421">
        <v>4</v>
      </c>
      <c r="Q87" s="421">
        <v>4</v>
      </c>
      <c r="R87" s="424" t="s">
        <v>518</v>
      </c>
      <c r="S87" s="52" t="s">
        <v>44</v>
      </c>
    </row>
    <row r="88" spans="1:19" ht="13.5" customHeight="1" x14ac:dyDescent="0.2">
      <c r="A88" s="432"/>
      <c r="B88" s="433"/>
      <c r="C88" s="432"/>
      <c r="D88" s="432"/>
      <c r="E88" s="433"/>
      <c r="F88" s="433"/>
      <c r="G88" s="412"/>
      <c r="H88" s="261"/>
      <c r="I88" s="413"/>
      <c r="J88" s="413"/>
      <c r="K88" s="419" t="s">
        <v>66</v>
      </c>
      <c r="L88" s="51" t="s">
        <v>320</v>
      </c>
      <c r="M88" s="435" t="s">
        <v>321</v>
      </c>
      <c r="N88" s="421">
        <v>8</v>
      </c>
      <c r="O88" s="421">
        <v>8</v>
      </c>
      <c r="P88" s="421">
        <v>8</v>
      </c>
      <c r="Q88" s="424">
        <v>8</v>
      </c>
      <c r="R88" s="424" t="s">
        <v>518</v>
      </c>
      <c r="S88" s="52" t="s">
        <v>44</v>
      </c>
    </row>
    <row r="89" spans="1:19" ht="13.5" customHeight="1" x14ac:dyDescent="0.2">
      <c r="A89" s="432"/>
      <c r="B89" s="433"/>
      <c r="C89" s="432"/>
      <c r="D89" s="432"/>
      <c r="E89" s="433"/>
      <c r="F89" s="433"/>
      <c r="G89" s="412"/>
      <c r="H89" s="261"/>
      <c r="I89" s="413"/>
      <c r="J89" s="413"/>
      <c r="K89" s="419" t="s">
        <v>67</v>
      </c>
      <c r="L89" s="51" t="s">
        <v>322</v>
      </c>
      <c r="M89" s="435" t="s">
        <v>75</v>
      </c>
      <c r="N89" s="421">
        <v>8</v>
      </c>
      <c r="O89" s="421">
        <v>8</v>
      </c>
      <c r="P89" s="421">
        <v>8</v>
      </c>
      <c r="Q89" s="424">
        <v>8</v>
      </c>
      <c r="R89" s="424" t="s">
        <v>518</v>
      </c>
      <c r="S89" s="426" t="s">
        <v>44</v>
      </c>
    </row>
    <row r="90" spans="1:19" ht="13.5" customHeight="1" x14ac:dyDescent="0.2">
      <c r="A90" s="436"/>
      <c r="B90" s="437"/>
      <c r="C90" s="436"/>
      <c r="D90" s="436"/>
      <c r="E90" s="437"/>
      <c r="F90" s="437"/>
      <c r="G90" s="412"/>
      <c r="H90" s="261"/>
      <c r="I90" s="413"/>
      <c r="J90" s="413"/>
      <c r="K90" s="419" t="s">
        <v>68</v>
      </c>
      <c r="L90" s="51" t="s">
        <v>323</v>
      </c>
      <c r="M90" s="435" t="s">
        <v>324</v>
      </c>
      <c r="N90" s="421">
        <v>16</v>
      </c>
      <c r="O90" s="421">
        <v>16</v>
      </c>
      <c r="P90" s="421">
        <v>16</v>
      </c>
      <c r="Q90" s="424">
        <v>16</v>
      </c>
      <c r="R90" s="424" t="s">
        <v>518</v>
      </c>
      <c r="S90" s="426" t="s">
        <v>44</v>
      </c>
    </row>
    <row r="104" spans="1:19" ht="19.5" x14ac:dyDescent="0.2">
      <c r="A104" s="259" t="s">
        <v>0</v>
      </c>
      <c r="B104" s="260"/>
      <c r="C104" s="11"/>
      <c r="D104" s="12"/>
      <c r="E104" s="12" t="s">
        <v>14</v>
      </c>
      <c r="F104" s="13"/>
      <c r="G104" s="12"/>
      <c r="H104" s="12" t="s">
        <v>13</v>
      </c>
      <c r="I104" s="12"/>
      <c r="J104" s="13"/>
      <c r="K104" s="11"/>
      <c r="L104" s="12"/>
      <c r="M104" s="6" t="s">
        <v>1</v>
      </c>
      <c r="N104" s="12"/>
      <c r="O104" s="12"/>
      <c r="P104" s="12"/>
      <c r="Q104" s="21"/>
      <c r="R104" s="21"/>
      <c r="S104" s="17" t="s">
        <v>15</v>
      </c>
    </row>
    <row r="105" spans="1:19" ht="45" x14ac:dyDescent="0.2">
      <c r="A105" s="20" t="s">
        <v>2</v>
      </c>
      <c r="B105" s="3" t="s">
        <v>3</v>
      </c>
      <c r="C105" s="14" t="s">
        <v>4</v>
      </c>
      <c r="D105" s="15" t="s">
        <v>5</v>
      </c>
      <c r="E105" s="14" t="s">
        <v>6</v>
      </c>
      <c r="F105" s="14" t="s">
        <v>3</v>
      </c>
      <c r="G105" s="3" t="s">
        <v>10</v>
      </c>
      <c r="H105" s="3" t="s">
        <v>5</v>
      </c>
      <c r="I105" s="3" t="s">
        <v>12</v>
      </c>
      <c r="J105" s="3" t="s">
        <v>11</v>
      </c>
      <c r="K105" s="1" t="s">
        <v>7</v>
      </c>
      <c r="L105" s="2" t="s">
        <v>5</v>
      </c>
      <c r="M105" s="2" t="s">
        <v>9</v>
      </c>
      <c r="N105" s="3" t="s">
        <v>8</v>
      </c>
      <c r="O105" s="3" t="s">
        <v>6</v>
      </c>
      <c r="P105" s="16" t="s">
        <v>3</v>
      </c>
      <c r="Q105" s="16" t="s">
        <v>686</v>
      </c>
      <c r="R105" s="16" t="s">
        <v>18</v>
      </c>
      <c r="S105" s="2" t="s">
        <v>16</v>
      </c>
    </row>
    <row r="106" spans="1:19" ht="15.75" x14ac:dyDescent="0.2">
      <c r="A106" s="263"/>
      <c r="B106" s="265"/>
      <c r="C106" s="412"/>
      <c r="D106" s="412"/>
      <c r="E106" s="413"/>
      <c r="F106" s="413"/>
      <c r="G106" s="438" t="s">
        <v>44</v>
      </c>
      <c r="H106" s="438" t="s">
        <v>44</v>
      </c>
      <c r="I106" s="439" t="s">
        <v>44</v>
      </c>
      <c r="J106" s="439" t="s">
        <v>44</v>
      </c>
      <c r="K106" s="419" t="s">
        <v>69</v>
      </c>
      <c r="L106" s="51" t="s">
        <v>330</v>
      </c>
      <c r="M106" s="435" t="s">
        <v>331</v>
      </c>
      <c r="N106" s="421">
        <v>1</v>
      </c>
      <c r="O106" s="421">
        <v>1</v>
      </c>
      <c r="P106" s="421">
        <v>1</v>
      </c>
      <c r="Q106" s="424">
        <v>3.2</v>
      </c>
      <c r="R106" s="424" t="s">
        <v>496</v>
      </c>
      <c r="S106" s="23"/>
    </row>
    <row r="107" spans="1:19" ht="15.75" x14ac:dyDescent="0.2">
      <c r="A107" s="263"/>
      <c r="B107" s="265"/>
      <c r="C107" s="412"/>
      <c r="D107" s="412"/>
      <c r="E107" s="413"/>
      <c r="F107" s="413"/>
      <c r="G107" s="438" t="s">
        <v>44</v>
      </c>
      <c r="H107" s="438" t="s">
        <v>44</v>
      </c>
      <c r="I107" s="439" t="s">
        <v>44</v>
      </c>
      <c r="J107" s="439" t="s">
        <v>44</v>
      </c>
      <c r="K107" s="419" t="s">
        <v>70</v>
      </c>
      <c r="L107" s="51" t="s">
        <v>332</v>
      </c>
      <c r="M107" s="435" t="s">
        <v>288</v>
      </c>
      <c r="N107" s="421">
        <v>4</v>
      </c>
      <c r="O107" s="421">
        <v>4</v>
      </c>
      <c r="P107" s="421">
        <v>4</v>
      </c>
      <c r="Q107" s="424">
        <v>4</v>
      </c>
      <c r="R107" s="424" t="s">
        <v>518</v>
      </c>
      <c r="S107" s="23"/>
    </row>
    <row r="108" spans="1:19" ht="16.5" thickBot="1" x14ac:dyDescent="0.25">
      <c r="A108" s="263"/>
      <c r="B108" s="265"/>
      <c r="C108" s="440"/>
      <c r="D108" s="440"/>
      <c r="E108" s="441"/>
      <c r="F108" s="441"/>
      <c r="G108" s="442" t="s">
        <v>44</v>
      </c>
      <c r="H108" s="442" t="s">
        <v>44</v>
      </c>
      <c r="I108" s="443" t="s">
        <v>44</v>
      </c>
      <c r="J108" s="443" t="s">
        <v>44</v>
      </c>
      <c r="K108" s="444" t="s">
        <v>77</v>
      </c>
      <c r="L108" s="61" t="s">
        <v>333</v>
      </c>
      <c r="M108" s="445" t="s">
        <v>334</v>
      </c>
      <c r="N108" s="446">
        <v>4</v>
      </c>
      <c r="O108" s="446">
        <v>4</v>
      </c>
      <c r="P108" s="446">
        <v>4</v>
      </c>
      <c r="Q108" s="447">
        <v>4</v>
      </c>
      <c r="R108" s="447" t="s">
        <v>518</v>
      </c>
      <c r="S108" s="448"/>
    </row>
    <row r="109" spans="1:19" ht="15.75" x14ac:dyDescent="0.2">
      <c r="A109" s="263"/>
      <c r="B109" s="265"/>
      <c r="C109" s="432" t="s">
        <v>335</v>
      </c>
      <c r="D109" s="432" t="s">
        <v>336</v>
      </c>
      <c r="E109" s="433" t="s">
        <v>19</v>
      </c>
      <c r="F109" s="433" t="s">
        <v>19</v>
      </c>
      <c r="G109" s="449" t="s">
        <v>250</v>
      </c>
      <c r="H109" s="449" t="s">
        <v>337</v>
      </c>
      <c r="I109" s="450" t="s">
        <v>19</v>
      </c>
      <c r="J109" s="450" t="s">
        <v>19</v>
      </c>
      <c r="K109" s="451" t="s">
        <v>53</v>
      </c>
      <c r="L109" s="63" t="s">
        <v>338</v>
      </c>
      <c r="M109" s="420" t="s">
        <v>346</v>
      </c>
      <c r="N109" s="452">
        <v>2</v>
      </c>
      <c r="O109" s="452">
        <v>2</v>
      </c>
      <c r="P109" s="452">
        <v>2</v>
      </c>
      <c r="Q109" s="452">
        <v>2</v>
      </c>
      <c r="R109" s="452" t="s">
        <v>518</v>
      </c>
      <c r="S109" s="453"/>
    </row>
    <row r="110" spans="1:19" ht="15.75" customHeight="1" x14ac:dyDescent="0.2">
      <c r="A110" s="263"/>
      <c r="B110" s="265"/>
      <c r="C110" s="432"/>
      <c r="D110" s="432"/>
      <c r="E110" s="433"/>
      <c r="F110" s="433"/>
      <c r="G110" s="449"/>
      <c r="H110" s="449"/>
      <c r="I110" s="450"/>
      <c r="J110" s="450"/>
      <c r="K110" s="451" t="s">
        <v>19</v>
      </c>
      <c r="L110" s="63" t="s">
        <v>339</v>
      </c>
      <c r="M110" s="420" t="s">
        <v>690</v>
      </c>
      <c r="N110" s="454">
        <v>2</v>
      </c>
      <c r="O110" s="452">
        <v>2</v>
      </c>
      <c r="P110" s="452">
        <v>2</v>
      </c>
      <c r="Q110" s="452">
        <v>1</v>
      </c>
      <c r="R110" s="452" t="s">
        <v>496</v>
      </c>
      <c r="S110" s="453"/>
    </row>
    <row r="111" spans="1:19" ht="15.75" x14ac:dyDescent="0.2">
      <c r="A111" s="263"/>
      <c r="B111" s="265"/>
      <c r="C111" s="432"/>
      <c r="D111" s="432"/>
      <c r="E111" s="433"/>
      <c r="F111" s="433"/>
      <c r="G111" s="449"/>
      <c r="H111" s="449"/>
      <c r="I111" s="450"/>
      <c r="J111" s="450"/>
      <c r="K111" s="419" t="s">
        <v>21</v>
      </c>
      <c r="L111" s="51" t="s">
        <v>340</v>
      </c>
      <c r="M111" s="435" t="s">
        <v>341</v>
      </c>
      <c r="N111" s="455">
        <v>2</v>
      </c>
      <c r="O111" s="421">
        <v>2</v>
      </c>
      <c r="P111" s="421">
        <v>2</v>
      </c>
      <c r="Q111" s="421">
        <v>2</v>
      </c>
      <c r="R111" s="421" t="s">
        <v>518</v>
      </c>
      <c r="S111" s="23"/>
    </row>
    <row r="112" spans="1:19" ht="15.75" x14ac:dyDescent="0.2">
      <c r="A112" s="263"/>
      <c r="B112" s="265"/>
      <c r="C112" s="432"/>
      <c r="D112" s="432"/>
      <c r="E112" s="433"/>
      <c r="F112" s="433"/>
      <c r="G112" s="449"/>
      <c r="H112" s="449"/>
      <c r="I112" s="450"/>
      <c r="J112" s="450"/>
      <c r="K112" s="419" t="s">
        <v>23</v>
      </c>
      <c r="L112" s="51" t="s">
        <v>342</v>
      </c>
      <c r="M112" s="435" t="s">
        <v>75</v>
      </c>
      <c r="N112" s="455">
        <v>2</v>
      </c>
      <c r="O112" s="421">
        <v>2</v>
      </c>
      <c r="P112" s="421">
        <v>2</v>
      </c>
      <c r="Q112" s="421">
        <v>2</v>
      </c>
      <c r="R112" s="421" t="s">
        <v>518</v>
      </c>
      <c r="S112" s="23"/>
    </row>
    <row r="113" spans="1:19" ht="15.75" x14ac:dyDescent="0.2">
      <c r="A113" s="264"/>
      <c r="B113" s="266"/>
      <c r="C113" s="436"/>
      <c r="D113" s="436"/>
      <c r="E113" s="437"/>
      <c r="F113" s="437"/>
      <c r="G113" s="456"/>
      <c r="H113" s="456"/>
      <c r="I113" s="457"/>
      <c r="J113" s="457"/>
      <c r="K113" s="419" t="s">
        <v>26</v>
      </c>
      <c r="L113" s="51" t="s">
        <v>343</v>
      </c>
      <c r="M113" s="420" t="s">
        <v>324</v>
      </c>
      <c r="N113" s="421">
        <v>4</v>
      </c>
      <c r="O113" s="424">
        <v>4</v>
      </c>
      <c r="P113" s="424">
        <v>4</v>
      </c>
      <c r="Q113" s="424">
        <v>4</v>
      </c>
      <c r="R113" s="421" t="s">
        <v>518</v>
      </c>
      <c r="S113" s="23"/>
    </row>
    <row r="136" spans="1:19" ht="19.5" x14ac:dyDescent="0.2">
      <c r="A136" s="259" t="s">
        <v>0</v>
      </c>
      <c r="B136" s="260"/>
      <c r="C136" s="11"/>
      <c r="D136" s="12"/>
      <c r="E136" s="12" t="s">
        <v>14</v>
      </c>
      <c r="F136" s="13"/>
      <c r="G136" s="12"/>
      <c r="H136" s="12" t="s">
        <v>13</v>
      </c>
      <c r="I136" s="12"/>
      <c r="J136" s="13"/>
      <c r="K136" s="11"/>
      <c r="L136" s="12"/>
      <c r="M136" s="6" t="s">
        <v>1</v>
      </c>
      <c r="N136" s="12"/>
      <c r="O136" s="12"/>
      <c r="P136" s="12"/>
      <c r="Q136" s="21"/>
      <c r="R136" s="21"/>
      <c r="S136" s="17" t="s">
        <v>15</v>
      </c>
    </row>
    <row r="137" spans="1:19" ht="45" x14ac:dyDescent="0.2">
      <c r="A137" s="20" t="s">
        <v>2</v>
      </c>
      <c r="B137" s="3" t="s">
        <v>3</v>
      </c>
      <c r="C137" s="14" t="s">
        <v>4</v>
      </c>
      <c r="D137" s="15" t="s">
        <v>5</v>
      </c>
      <c r="E137" s="14" t="s">
        <v>6</v>
      </c>
      <c r="F137" s="14" t="s">
        <v>3</v>
      </c>
      <c r="G137" s="3" t="s">
        <v>10</v>
      </c>
      <c r="H137" s="3" t="s">
        <v>5</v>
      </c>
      <c r="I137" s="3" t="s">
        <v>12</v>
      </c>
      <c r="J137" s="3" t="s">
        <v>11</v>
      </c>
      <c r="K137" s="1" t="s">
        <v>7</v>
      </c>
      <c r="L137" s="2" t="s">
        <v>5</v>
      </c>
      <c r="M137" s="2" t="s">
        <v>9</v>
      </c>
      <c r="N137" s="3" t="s">
        <v>8</v>
      </c>
      <c r="O137" s="3" t="s">
        <v>6</v>
      </c>
      <c r="P137" s="16" t="s">
        <v>3</v>
      </c>
      <c r="Q137" s="16"/>
      <c r="R137" s="16"/>
      <c r="S137" s="2" t="s">
        <v>16</v>
      </c>
    </row>
    <row r="138" spans="1:19" ht="15.75" x14ac:dyDescent="0.2">
      <c r="A138" s="261" t="s">
        <v>249</v>
      </c>
      <c r="B138" s="262" t="s">
        <v>19</v>
      </c>
      <c r="C138" s="261" t="s">
        <v>335</v>
      </c>
      <c r="D138" s="261" t="s">
        <v>336</v>
      </c>
      <c r="E138" s="262" t="s">
        <v>19</v>
      </c>
      <c r="F138" s="262" t="s">
        <v>19</v>
      </c>
      <c r="G138" s="255" t="s">
        <v>255</v>
      </c>
      <c r="H138" s="255" t="s">
        <v>344</v>
      </c>
      <c r="I138" s="256" t="s">
        <v>19</v>
      </c>
      <c r="J138" s="256" t="s">
        <v>19</v>
      </c>
      <c r="K138" s="249" t="s">
        <v>19</v>
      </c>
      <c r="L138" s="51" t="s">
        <v>345</v>
      </c>
      <c r="M138" s="43" t="s">
        <v>346</v>
      </c>
      <c r="N138" s="44">
        <v>1</v>
      </c>
      <c r="O138" s="44"/>
      <c r="P138" s="45">
        <v>1</v>
      </c>
      <c r="Q138" s="45"/>
      <c r="R138" s="45"/>
      <c r="S138" s="52"/>
    </row>
    <row r="139" spans="1:19" ht="15.75" x14ac:dyDescent="0.2">
      <c r="A139" s="261"/>
      <c r="B139" s="262"/>
      <c r="C139" s="261"/>
      <c r="D139" s="261"/>
      <c r="E139" s="262"/>
      <c r="F139" s="262"/>
      <c r="G139" s="255"/>
      <c r="H139" s="255"/>
      <c r="I139" s="256"/>
      <c r="J139" s="256"/>
      <c r="K139" s="249" t="s">
        <v>21</v>
      </c>
      <c r="L139" s="51" t="s">
        <v>347</v>
      </c>
      <c r="M139" s="43" t="s">
        <v>348</v>
      </c>
      <c r="N139" s="44">
        <v>1</v>
      </c>
      <c r="O139" s="44"/>
      <c r="P139" s="45">
        <v>1</v>
      </c>
      <c r="Q139" s="45"/>
      <c r="R139" s="45"/>
      <c r="S139" s="52"/>
    </row>
    <row r="140" spans="1:19" ht="15.75" x14ac:dyDescent="0.2">
      <c r="A140" s="261"/>
      <c r="B140" s="262"/>
      <c r="C140" s="261"/>
      <c r="D140" s="261"/>
      <c r="E140" s="262"/>
      <c r="F140" s="262"/>
      <c r="G140" s="255"/>
      <c r="H140" s="255"/>
      <c r="I140" s="256"/>
      <c r="J140" s="256"/>
      <c r="K140" s="249" t="s">
        <v>23</v>
      </c>
      <c r="L140" s="51" t="s">
        <v>349</v>
      </c>
      <c r="M140" s="65" t="s">
        <v>350</v>
      </c>
      <c r="N140" s="44">
        <v>2</v>
      </c>
      <c r="O140" s="44"/>
      <c r="P140" s="45">
        <v>2</v>
      </c>
      <c r="Q140" s="45"/>
      <c r="R140" s="45"/>
      <c r="S140" s="52"/>
    </row>
    <row r="141" spans="1:19" ht="15.75" x14ac:dyDescent="0.2">
      <c r="A141" s="261"/>
      <c r="B141" s="262"/>
      <c r="C141" s="261"/>
      <c r="D141" s="261"/>
      <c r="E141" s="262"/>
      <c r="F141" s="262"/>
      <c r="G141" s="255"/>
      <c r="H141" s="255"/>
      <c r="I141" s="256"/>
      <c r="J141" s="256"/>
      <c r="K141" s="249" t="s">
        <v>26</v>
      </c>
      <c r="L141" s="51" t="s">
        <v>351</v>
      </c>
      <c r="M141" s="43" t="s">
        <v>352</v>
      </c>
      <c r="N141" s="44">
        <v>1</v>
      </c>
      <c r="O141" s="44"/>
      <c r="P141" s="45">
        <v>1</v>
      </c>
      <c r="Q141" s="45"/>
      <c r="R141" s="45"/>
      <c r="S141" s="52"/>
    </row>
    <row r="142" spans="1:19" ht="15.75" x14ac:dyDescent="0.2">
      <c r="A142" s="261"/>
      <c r="B142" s="262"/>
      <c r="C142" s="261"/>
      <c r="D142" s="261"/>
      <c r="E142" s="262"/>
      <c r="F142" s="262"/>
      <c r="G142" s="255"/>
      <c r="H142" s="255"/>
      <c r="I142" s="256"/>
      <c r="J142" s="256"/>
      <c r="K142" s="249" t="s">
        <v>29</v>
      </c>
      <c r="L142" s="51" t="s">
        <v>353</v>
      </c>
      <c r="M142" s="65" t="s">
        <v>100</v>
      </c>
      <c r="N142" s="44">
        <v>1</v>
      </c>
      <c r="O142" s="44"/>
      <c r="P142" s="45">
        <v>1</v>
      </c>
      <c r="Q142" s="45"/>
      <c r="R142" s="45"/>
      <c r="S142" s="52"/>
    </row>
    <row r="143" spans="1:19" ht="15.75" x14ac:dyDescent="0.2">
      <c r="A143" s="261"/>
      <c r="B143" s="262"/>
      <c r="C143" s="261"/>
      <c r="D143" s="261"/>
      <c r="E143" s="262"/>
      <c r="F143" s="262"/>
      <c r="G143" s="255"/>
      <c r="H143" s="255"/>
      <c r="I143" s="256"/>
      <c r="J143" s="256"/>
      <c r="K143" s="249" t="s">
        <v>32</v>
      </c>
      <c r="L143" s="51" t="s">
        <v>354</v>
      </c>
      <c r="M143" s="65" t="s">
        <v>355</v>
      </c>
      <c r="N143" s="44">
        <v>1</v>
      </c>
      <c r="O143" s="44"/>
      <c r="P143" s="45">
        <v>1</v>
      </c>
      <c r="Q143" s="45"/>
      <c r="R143" s="45"/>
      <c r="S143" s="52"/>
    </row>
    <row r="144" spans="1:19" ht="15.75" x14ac:dyDescent="0.2">
      <c r="A144" s="261"/>
      <c r="B144" s="262"/>
      <c r="C144" s="261"/>
      <c r="D144" s="261"/>
      <c r="E144" s="262"/>
      <c r="F144" s="262"/>
      <c r="G144" s="255"/>
      <c r="H144" s="255"/>
      <c r="I144" s="256"/>
      <c r="J144" s="256"/>
      <c r="K144" s="249" t="s">
        <v>35</v>
      </c>
      <c r="L144" s="51" t="s">
        <v>356</v>
      </c>
      <c r="M144" s="65" t="s">
        <v>357</v>
      </c>
      <c r="N144" s="44">
        <v>1</v>
      </c>
      <c r="O144" s="44"/>
      <c r="P144" s="45"/>
      <c r="Q144" s="45"/>
      <c r="R144" s="45"/>
      <c r="S144" s="52"/>
    </row>
    <row r="145" spans="1:19" ht="15.75" x14ac:dyDescent="0.2">
      <c r="A145" s="261"/>
      <c r="B145" s="262"/>
      <c r="C145" s="261"/>
      <c r="D145" s="261"/>
      <c r="E145" s="262"/>
      <c r="F145" s="262"/>
      <c r="G145" s="255"/>
      <c r="H145" s="255"/>
      <c r="I145" s="256"/>
      <c r="J145" s="256"/>
      <c r="K145" s="249" t="s">
        <v>37</v>
      </c>
      <c r="L145" s="51" t="s">
        <v>356</v>
      </c>
      <c r="M145" s="65" t="s">
        <v>358</v>
      </c>
      <c r="N145" s="44">
        <v>1</v>
      </c>
      <c r="O145" s="44"/>
      <c r="P145" s="45"/>
      <c r="Q145" s="45"/>
      <c r="R145" s="45"/>
      <c r="S145" s="52"/>
    </row>
    <row r="146" spans="1:19" ht="15.75" x14ac:dyDescent="0.2">
      <c r="A146" s="261"/>
      <c r="B146" s="262"/>
      <c r="C146" s="261"/>
      <c r="D146" s="261"/>
      <c r="E146" s="262"/>
      <c r="F146" s="262"/>
      <c r="G146" s="255" t="s">
        <v>258</v>
      </c>
      <c r="H146" s="255" t="s">
        <v>359</v>
      </c>
      <c r="I146" s="256" t="s">
        <v>19</v>
      </c>
      <c r="J146" s="256" t="s">
        <v>19</v>
      </c>
      <c r="K146" s="249" t="s">
        <v>40</v>
      </c>
      <c r="L146" s="51" t="s">
        <v>360</v>
      </c>
      <c r="M146" s="65" t="s">
        <v>361</v>
      </c>
      <c r="N146" s="66">
        <v>1</v>
      </c>
      <c r="O146" s="44"/>
      <c r="P146" s="45">
        <v>1</v>
      </c>
      <c r="Q146" s="45"/>
      <c r="R146" s="45"/>
      <c r="S146" s="52"/>
    </row>
    <row r="147" spans="1:19" ht="15.75" x14ac:dyDescent="0.2">
      <c r="A147" s="261"/>
      <c r="B147" s="262"/>
      <c r="C147" s="261"/>
      <c r="D147" s="261"/>
      <c r="E147" s="262"/>
      <c r="F147" s="262"/>
      <c r="G147" s="255"/>
      <c r="H147" s="255"/>
      <c r="I147" s="256"/>
      <c r="J147" s="256"/>
      <c r="K147" s="249" t="s">
        <v>51</v>
      </c>
      <c r="L147" s="51" t="s">
        <v>362</v>
      </c>
      <c r="M147" s="65" t="s">
        <v>363</v>
      </c>
      <c r="N147" s="66">
        <v>2</v>
      </c>
      <c r="O147" s="44"/>
      <c r="P147" s="45">
        <v>2</v>
      </c>
      <c r="Q147" s="45"/>
      <c r="R147" s="45"/>
      <c r="S147" s="52"/>
    </row>
    <row r="148" spans="1:19" ht="15.75" x14ac:dyDescent="0.2">
      <c r="A148" s="261"/>
      <c r="B148" s="262"/>
      <c r="C148" s="261"/>
      <c r="D148" s="261"/>
      <c r="E148" s="262"/>
      <c r="F148" s="262"/>
      <c r="G148" s="255"/>
      <c r="H148" s="255"/>
      <c r="I148" s="256"/>
      <c r="J148" s="256"/>
      <c r="K148" s="249" t="s">
        <v>52</v>
      </c>
      <c r="L148" s="51" t="s">
        <v>364</v>
      </c>
      <c r="M148" s="65" t="s">
        <v>100</v>
      </c>
      <c r="N148" s="66">
        <v>8</v>
      </c>
      <c r="O148" s="44"/>
      <c r="P148" s="45">
        <v>8</v>
      </c>
      <c r="Q148" s="45"/>
      <c r="R148" s="45"/>
      <c r="S148" s="52"/>
    </row>
    <row r="149" spans="1:19" ht="15.75" x14ac:dyDescent="0.2">
      <c r="A149" s="261"/>
      <c r="B149" s="262"/>
      <c r="C149" s="261"/>
      <c r="D149" s="261"/>
      <c r="E149" s="262"/>
      <c r="F149" s="262"/>
      <c r="G149" s="255"/>
      <c r="H149" s="255"/>
      <c r="I149" s="256"/>
      <c r="J149" s="256"/>
      <c r="K149" s="249" t="s">
        <v>53</v>
      </c>
      <c r="L149" s="51" t="s">
        <v>365</v>
      </c>
      <c r="M149" s="65" t="s">
        <v>42</v>
      </c>
      <c r="N149" s="66">
        <v>8</v>
      </c>
      <c r="O149" s="44"/>
      <c r="P149" s="45">
        <v>8</v>
      </c>
      <c r="Q149" s="45"/>
      <c r="R149" s="45"/>
      <c r="S149" s="52"/>
    </row>
    <row r="150" spans="1:19" ht="15.75" x14ac:dyDescent="0.2">
      <c r="A150" s="261"/>
      <c r="B150" s="262"/>
      <c r="C150" s="261"/>
      <c r="D150" s="261"/>
      <c r="E150" s="262"/>
      <c r="F150" s="262"/>
      <c r="G150" s="261" t="s">
        <v>335</v>
      </c>
      <c r="H150" s="261" t="s">
        <v>366</v>
      </c>
      <c r="I150" s="262" t="s">
        <v>19</v>
      </c>
      <c r="J150" s="262" t="s">
        <v>19</v>
      </c>
      <c r="K150" s="249" t="s">
        <v>57</v>
      </c>
      <c r="L150" s="51" t="s">
        <v>367</v>
      </c>
      <c r="M150" s="65" t="s">
        <v>44</v>
      </c>
      <c r="N150" s="66">
        <v>1</v>
      </c>
      <c r="O150" s="44"/>
      <c r="P150" s="45">
        <v>1</v>
      </c>
      <c r="Q150" s="45"/>
      <c r="R150" s="45"/>
      <c r="S150" s="52"/>
    </row>
    <row r="151" spans="1:19" ht="15.75" x14ac:dyDescent="0.2">
      <c r="A151" s="261"/>
      <c r="B151" s="262"/>
      <c r="C151" s="261"/>
      <c r="D151" s="261"/>
      <c r="E151" s="262"/>
      <c r="F151" s="262"/>
      <c r="G151" s="261"/>
      <c r="H151" s="261"/>
      <c r="I151" s="262"/>
      <c r="J151" s="262"/>
      <c r="K151" s="249" t="s">
        <v>58</v>
      </c>
      <c r="L151" s="51" t="s">
        <v>368</v>
      </c>
      <c r="M151" s="65" t="s">
        <v>369</v>
      </c>
      <c r="N151" s="44">
        <v>1</v>
      </c>
      <c r="O151" s="44"/>
      <c r="P151" s="44">
        <v>1</v>
      </c>
      <c r="Q151" s="44"/>
      <c r="R151" s="44"/>
      <c r="S151" s="52"/>
    </row>
    <row r="152" spans="1:19" ht="15.75" x14ac:dyDescent="0.2">
      <c r="A152" s="261"/>
      <c r="B152" s="262"/>
      <c r="C152" s="261"/>
      <c r="D152" s="261"/>
      <c r="E152" s="262"/>
      <c r="F152" s="262"/>
      <c r="G152" s="261"/>
      <c r="H152" s="261"/>
      <c r="I152" s="262"/>
      <c r="J152" s="262"/>
      <c r="K152" s="249" t="s">
        <v>65</v>
      </c>
      <c r="L152" s="63" t="s">
        <v>370</v>
      </c>
      <c r="M152" s="67" t="s">
        <v>371</v>
      </c>
      <c r="N152" s="68">
        <v>1</v>
      </c>
      <c r="O152" s="69"/>
      <c r="P152" s="69">
        <v>1</v>
      </c>
      <c r="Q152" s="69"/>
      <c r="R152" s="69"/>
      <c r="S152" s="64"/>
    </row>
    <row r="153" spans="1:19" ht="15.75" x14ac:dyDescent="0.2">
      <c r="A153" s="261"/>
      <c r="B153" s="262"/>
      <c r="C153" s="261"/>
      <c r="D153" s="261"/>
      <c r="E153" s="262"/>
      <c r="F153" s="262"/>
      <c r="G153" s="261"/>
      <c r="H153" s="261"/>
      <c r="I153" s="262"/>
      <c r="J153" s="262"/>
      <c r="K153" s="249" t="s">
        <v>66</v>
      </c>
      <c r="L153" s="70" t="s">
        <v>372</v>
      </c>
      <c r="M153" s="71" t="s">
        <v>350</v>
      </c>
      <c r="N153" s="66">
        <v>2</v>
      </c>
      <c r="O153" s="44"/>
      <c r="P153" s="44">
        <v>2</v>
      </c>
      <c r="Q153" s="44"/>
      <c r="R153" s="44"/>
      <c r="S153" s="52"/>
    </row>
  </sheetData>
  <mergeCells count="83">
    <mergeCell ref="G150:G153"/>
    <mergeCell ref="H150:H153"/>
    <mergeCell ref="I150:I153"/>
    <mergeCell ref="J150:J153"/>
    <mergeCell ref="G138:G145"/>
    <mergeCell ref="H138:H145"/>
    <mergeCell ref="I138:I145"/>
    <mergeCell ref="J138:J145"/>
    <mergeCell ref="G146:G149"/>
    <mergeCell ref="H146:H149"/>
    <mergeCell ref="I146:I149"/>
    <mergeCell ref="J146:J149"/>
    <mergeCell ref="H109:H113"/>
    <mergeCell ref="I109:I113"/>
    <mergeCell ref="J109:J113"/>
    <mergeCell ref="A136:B136"/>
    <mergeCell ref="A138:A153"/>
    <mergeCell ref="B138:B153"/>
    <mergeCell ref="C138:C153"/>
    <mergeCell ref="D138:D153"/>
    <mergeCell ref="E138:E153"/>
    <mergeCell ref="F138:F153"/>
    <mergeCell ref="F106:F108"/>
    <mergeCell ref="C109:C113"/>
    <mergeCell ref="D109:D113"/>
    <mergeCell ref="E109:E113"/>
    <mergeCell ref="F109:F113"/>
    <mergeCell ref="G109:G113"/>
    <mergeCell ref="A104:B104"/>
    <mergeCell ref="A106:A113"/>
    <mergeCell ref="B106:B113"/>
    <mergeCell ref="C106:C108"/>
    <mergeCell ref="D106:D108"/>
    <mergeCell ref="E106:E108"/>
    <mergeCell ref="G73:G82"/>
    <mergeCell ref="H73:H82"/>
    <mergeCell ref="I73:I82"/>
    <mergeCell ref="J73:J82"/>
    <mergeCell ref="G83:G90"/>
    <mergeCell ref="H83:H90"/>
    <mergeCell ref="I83:I90"/>
    <mergeCell ref="J83:J90"/>
    <mergeCell ref="H57:H59"/>
    <mergeCell ref="I57:I59"/>
    <mergeCell ref="J57:J59"/>
    <mergeCell ref="A71:B71"/>
    <mergeCell ref="A73:A90"/>
    <mergeCell ref="B73:B90"/>
    <mergeCell ref="C73:C90"/>
    <mergeCell ref="D73:D90"/>
    <mergeCell ref="E73:E90"/>
    <mergeCell ref="F73:F90"/>
    <mergeCell ref="F40:F59"/>
    <mergeCell ref="G40:G51"/>
    <mergeCell ref="H40:H51"/>
    <mergeCell ref="I40:I51"/>
    <mergeCell ref="J40:J51"/>
    <mergeCell ref="G52:G56"/>
    <mergeCell ref="H52:H56"/>
    <mergeCell ref="I52:I56"/>
    <mergeCell ref="J52:J56"/>
    <mergeCell ref="G57:G59"/>
    <mergeCell ref="A38:B38"/>
    <mergeCell ref="A40:A59"/>
    <mergeCell ref="B40:B59"/>
    <mergeCell ref="C40:C59"/>
    <mergeCell ref="D40:D59"/>
    <mergeCell ref="E40:E59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A6:B6"/>
    <mergeCell ref="A8:A13"/>
    <mergeCell ref="B8:B13"/>
    <mergeCell ref="C8:C13"/>
    <mergeCell ref="D8:D13"/>
    <mergeCell ref="E8:E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S30"/>
  <sheetViews>
    <sheetView view="pageLayout" topLeftCell="A19" zoomScale="130" zoomScaleNormal="100" zoomScalePageLayoutView="130" workbookViewId="0">
      <selection activeCell="H8" sqref="H8:H26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3</v>
      </c>
      <c r="C8" s="9"/>
      <c r="D8" s="24" t="s">
        <v>200</v>
      </c>
      <c r="E8" s="7"/>
      <c r="F8" s="8"/>
      <c r="G8" s="397"/>
      <c r="H8" s="279" t="s">
        <v>228</v>
      </c>
      <c r="I8" s="397">
        <v>1</v>
      </c>
      <c r="J8" s="397">
        <v>3</v>
      </c>
      <c r="K8" s="25" t="s">
        <v>19</v>
      </c>
      <c r="L8" s="22" t="s">
        <v>201</v>
      </c>
      <c r="M8" s="26" t="s">
        <v>220</v>
      </c>
      <c r="N8" s="24">
        <v>2</v>
      </c>
      <c r="O8" s="24">
        <v>2</v>
      </c>
      <c r="P8" s="23">
        <f>O8*3</f>
        <v>6</v>
      </c>
      <c r="Q8" s="23">
        <v>51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398"/>
      <c r="H9" s="400"/>
      <c r="I9" s="398"/>
      <c r="J9" s="398"/>
      <c r="K9" s="25" t="s">
        <v>21</v>
      </c>
      <c r="L9" s="22" t="s">
        <v>202</v>
      </c>
      <c r="M9" s="33" t="s">
        <v>681</v>
      </c>
      <c r="N9" s="24">
        <v>2</v>
      </c>
      <c r="O9" s="24">
        <v>2</v>
      </c>
      <c r="P9" s="23">
        <f t="shared" ref="P9:P26" si="0">O9*3</f>
        <v>6</v>
      </c>
      <c r="Q9" s="23">
        <v>47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398"/>
      <c r="H10" s="400"/>
      <c r="I10" s="398"/>
      <c r="J10" s="398"/>
      <c r="K10" s="25" t="s">
        <v>23</v>
      </c>
      <c r="L10" s="22" t="s">
        <v>203</v>
      </c>
      <c r="M10" s="33" t="s">
        <v>682</v>
      </c>
      <c r="N10" s="24">
        <v>1</v>
      </c>
      <c r="O10" s="24">
        <v>1</v>
      </c>
      <c r="P10" s="23">
        <f t="shared" si="0"/>
        <v>3</v>
      </c>
      <c r="Q10" s="23">
        <v>19</v>
      </c>
      <c r="R10" s="23" t="s">
        <v>496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398"/>
      <c r="H11" s="400"/>
      <c r="I11" s="398"/>
      <c r="J11" s="398"/>
      <c r="K11" s="25" t="s">
        <v>26</v>
      </c>
      <c r="L11" s="36" t="s">
        <v>103</v>
      </c>
      <c r="M11" s="33">
        <v>980</v>
      </c>
      <c r="N11" s="33">
        <v>24</v>
      </c>
      <c r="O11" s="33">
        <v>24</v>
      </c>
      <c r="P11" s="23">
        <f t="shared" si="0"/>
        <v>72</v>
      </c>
      <c r="Q11" s="23">
        <v>72</v>
      </c>
      <c r="R11" s="23" t="s">
        <v>518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398"/>
      <c r="H12" s="400"/>
      <c r="I12" s="398"/>
      <c r="J12" s="398"/>
      <c r="K12" s="25" t="s">
        <v>29</v>
      </c>
      <c r="L12" s="40" t="s">
        <v>204</v>
      </c>
      <c r="M12" s="33">
        <v>1520</v>
      </c>
      <c r="N12" s="24">
        <v>4</v>
      </c>
      <c r="O12" s="24">
        <v>4</v>
      </c>
      <c r="P12" s="23">
        <f t="shared" si="0"/>
        <v>12</v>
      </c>
      <c r="Q12" s="23">
        <v>6</v>
      </c>
      <c r="R12" s="23" t="s">
        <v>496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398"/>
      <c r="H13" s="400"/>
      <c r="I13" s="398"/>
      <c r="J13" s="398"/>
      <c r="K13" s="25" t="s">
        <v>32</v>
      </c>
      <c r="L13" s="22" t="s">
        <v>205</v>
      </c>
      <c r="M13" s="33" t="s">
        <v>44</v>
      </c>
      <c r="N13" s="24">
        <v>12</v>
      </c>
      <c r="O13" s="24">
        <v>12</v>
      </c>
      <c r="P13" s="23">
        <f t="shared" si="0"/>
        <v>36</v>
      </c>
      <c r="Q13" s="23">
        <v>36</v>
      </c>
      <c r="R13" s="23" t="s">
        <v>518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398"/>
      <c r="H14" s="400"/>
      <c r="I14" s="398"/>
      <c r="J14" s="398"/>
      <c r="K14" s="25" t="s">
        <v>35</v>
      </c>
      <c r="L14" s="22" t="s">
        <v>206</v>
      </c>
      <c r="M14" s="33" t="s">
        <v>44</v>
      </c>
      <c r="N14" s="24">
        <v>12</v>
      </c>
      <c r="O14" s="24">
        <v>12</v>
      </c>
      <c r="P14" s="23">
        <f t="shared" si="0"/>
        <v>36</v>
      </c>
      <c r="Q14" s="23">
        <v>36</v>
      </c>
      <c r="R14" s="23" t="s">
        <v>518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398"/>
      <c r="H15" s="400"/>
      <c r="I15" s="398"/>
      <c r="J15" s="398"/>
      <c r="K15" s="25" t="s">
        <v>37</v>
      </c>
      <c r="L15" s="22" t="s">
        <v>207</v>
      </c>
      <c r="M15" s="24" t="s">
        <v>44</v>
      </c>
      <c r="N15" s="24">
        <v>24</v>
      </c>
      <c r="O15" s="24">
        <v>24</v>
      </c>
      <c r="P15" s="23">
        <f t="shared" si="0"/>
        <v>72</v>
      </c>
      <c r="Q15" s="23">
        <v>72</v>
      </c>
      <c r="R15" s="23" t="s">
        <v>518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398"/>
      <c r="H16" s="400"/>
      <c r="I16" s="398"/>
      <c r="J16" s="398"/>
      <c r="K16" s="25" t="s">
        <v>40</v>
      </c>
      <c r="L16" s="22" t="s">
        <v>208</v>
      </c>
      <c r="M16" s="24" t="s">
        <v>44</v>
      </c>
      <c r="N16" s="24">
        <v>8</v>
      </c>
      <c r="O16" s="24">
        <v>8</v>
      </c>
      <c r="P16" s="23">
        <f t="shared" si="0"/>
        <v>24</v>
      </c>
      <c r="Q16" s="23">
        <v>24</v>
      </c>
      <c r="R16" s="23" t="s">
        <v>518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398"/>
      <c r="H17" s="400"/>
      <c r="I17" s="398"/>
      <c r="J17" s="398"/>
      <c r="K17" s="25" t="s">
        <v>51</v>
      </c>
      <c r="L17" s="22" t="s">
        <v>209</v>
      </c>
      <c r="M17" s="24" t="s">
        <v>44</v>
      </c>
      <c r="N17" s="24">
        <v>36</v>
      </c>
      <c r="O17" s="24">
        <v>36</v>
      </c>
      <c r="P17" s="23">
        <f t="shared" si="0"/>
        <v>108</v>
      </c>
      <c r="Q17" s="23">
        <v>108</v>
      </c>
      <c r="R17" s="23" t="s">
        <v>518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398"/>
      <c r="H18" s="400"/>
      <c r="I18" s="398"/>
      <c r="J18" s="398"/>
      <c r="K18" s="25" t="s">
        <v>52</v>
      </c>
      <c r="L18" s="22" t="s">
        <v>210</v>
      </c>
      <c r="M18" s="24" t="s">
        <v>683</v>
      </c>
      <c r="N18" s="24">
        <v>1</v>
      </c>
      <c r="O18" s="24">
        <v>1</v>
      </c>
      <c r="P18" s="23">
        <f t="shared" si="0"/>
        <v>3</v>
      </c>
      <c r="Q18" s="23">
        <v>6</v>
      </c>
      <c r="R18" s="23" t="s">
        <v>496</v>
      </c>
      <c r="S18" s="23" t="s">
        <v>44</v>
      </c>
    </row>
    <row r="19" spans="1:19" x14ac:dyDescent="0.2">
      <c r="A19" s="4"/>
      <c r="B19" s="8"/>
      <c r="C19" s="7"/>
      <c r="D19" s="7"/>
      <c r="E19" s="7"/>
      <c r="F19" s="8"/>
      <c r="G19" s="398"/>
      <c r="H19" s="400"/>
      <c r="I19" s="398"/>
      <c r="J19" s="398"/>
      <c r="K19" s="25" t="s">
        <v>53</v>
      </c>
      <c r="L19" s="22" t="s">
        <v>211</v>
      </c>
      <c r="M19" s="24" t="s">
        <v>683</v>
      </c>
      <c r="N19" s="24">
        <v>1</v>
      </c>
      <c r="O19" s="24">
        <v>1</v>
      </c>
      <c r="P19" s="23">
        <f t="shared" si="0"/>
        <v>3</v>
      </c>
      <c r="Q19" s="23">
        <v>6</v>
      </c>
      <c r="R19" s="23" t="s">
        <v>496</v>
      </c>
      <c r="S19" s="23" t="s">
        <v>44</v>
      </c>
    </row>
    <row r="20" spans="1:19" x14ac:dyDescent="0.2">
      <c r="A20" s="4"/>
      <c r="B20" s="8"/>
      <c r="C20" s="7"/>
      <c r="D20" s="7"/>
      <c r="E20" s="7"/>
      <c r="F20" s="8"/>
      <c r="G20" s="398"/>
      <c r="H20" s="400"/>
      <c r="I20" s="398"/>
      <c r="J20" s="398"/>
      <c r="K20" s="25" t="s">
        <v>57</v>
      </c>
      <c r="L20" s="22" t="s">
        <v>212</v>
      </c>
      <c r="M20" s="24" t="s">
        <v>221</v>
      </c>
      <c r="N20" s="24">
        <v>12</v>
      </c>
      <c r="O20" s="24">
        <v>12</v>
      </c>
      <c r="P20" s="23">
        <f t="shared" si="0"/>
        <v>36</v>
      </c>
      <c r="Q20" s="23">
        <v>36</v>
      </c>
      <c r="R20" s="23" t="s">
        <v>518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398"/>
      <c r="H21" s="400"/>
      <c r="I21" s="398"/>
      <c r="J21" s="398"/>
      <c r="K21" s="25" t="s">
        <v>58</v>
      </c>
      <c r="L21" s="22" t="s">
        <v>213</v>
      </c>
      <c r="M21" s="24" t="s">
        <v>222</v>
      </c>
      <c r="N21" s="24">
        <v>12</v>
      </c>
      <c r="O21" s="24">
        <v>12</v>
      </c>
      <c r="P21" s="23">
        <f t="shared" si="0"/>
        <v>36</v>
      </c>
      <c r="Q21" s="23">
        <v>36</v>
      </c>
      <c r="R21" s="23" t="s">
        <v>518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398"/>
      <c r="H22" s="400"/>
      <c r="I22" s="398"/>
      <c r="J22" s="398"/>
      <c r="K22" s="25" t="s">
        <v>65</v>
      </c>
      <c r="L22" s="22" t="s">
        <v>214</v>
      </c>
      <c r="M22" s="24" t="s">
        <v>223</v>
      </c>
      <c r="N22" s="24">
        <v>4</v>
      </c>
      <c r="O22" s="24">
        <v>4</v>
      </c>
      <c r="P22" s="23">
        <f t="shared" si="0"/>
        <v>12</v>
      </c>
      <c r="Q22" s="23">
        <v>2.5</v>
      </c>
      <c r="R22" s="23" t="s">
        <v>496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398"/>
      <c r="H23" s="400"/>
      <c r="I23" s="398"/>
      <c r="J23" s="398"/>
      <c r="K23" s="25" t="s">
        <v>66</v>
      </c>
      <c r="L23" s="22" t="s">
        <v>215</v>
      </c>
      <c r="M23" s="24" t="s">
        <v>224</v>
      </c>
      <c r="N23" s="24">
        <v>12</v>
      </c>
      <c r="O23" s="24">
        <v>12</v>
      </c>
      <c r="P23" s="23">
        <f t="shared" si="0"/>
        <v>36</v>
      </c>
      <c r="Q23" s="23">
        <v>36</v>
      </c>
      <c r="R23" s="23" t="s">
        <v>518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398"/>
      <c r="H24" s="400"/>
      <c r="I24" s="398"/>
      <c r="J24" s="398"/>
      <c r="K24" s="25" t="s">
        <v>67</v>
      </c>
      <c r="L24" s="22" t="s">
        <v>216</v>
      </c>
      <c r="M24" s="24" t="s">
        <v>75</v>
      </c>
      <c r="N24" s="24">
        <v>12</v>
      </c>
      <c r="O24" s="24">
        <v>12</v>
      </c>
      <c r="P24" s="23">
        <f t="shared" si="0"/>
        <v>36</v>
      </c>
      <c r="Q24" s="23">
        <v>36</v>
      </c>
      <c r="R24" s="23" t="s">
        <v>518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398"/>
      <c r="H25" s="400"/>
      <c r="I25" s="398"/>
      <c r="J25" s="398"/>
      <c r="K25" s="25" t="s">
        <v>68</v>
      </c>
      <c r="L25" s="22" t="s">
        <v>38</v>
      </c>
      <c r="M25" s="24" t="s">
        <v>224</v>
      </c>
      <c r="N25" s="24">
        <v>40</v>
      </c>
      <c r="O25" s="24">
        <v>40</v>
      </c>
      <c r="P25" s="23">
        <f t="shared" si="0"/>
        <v>120</v>
      </c>
      <c r="Q25" s="23">
        <v>120</v>
      </c>
      <c r="R25" s="23" t="s">
        <v>518</v>
      </c>
      <c r="S25" s="23" t="s">
        <v>44</v>
      </c>
    </row>
    <row r="26" spans="1:19" x14ac:dyDescent="0.2">
      <c r="A26" s="4"/>
      <c r="B26" s="8"/>
      <c r="C26" s="7"/>
      <c r="D26" s="7"/>
      <c r="E26" s="7"/>
      <c r="F26" s="8"/>
      <c r="G26" s="399"/>
      <c r="H26" s="280"/>
      <c r="I26" s="399"/>
      <c r="J26" s="399"/>
      <c r="K26" s="25" t="s">
        <v>69</v>
      </c>
      <c r="L26" s="22" t="s">
        <v>90</v>
      </c>
      <c r="M26" s="24" t="s">
        <v>75</v>
      </c>
      <c r="N26" s="24">
        <v>40</v>
      </c>
      <c r="O26" s="24">
        <v>40</v>
      </c>
      <c r="P26" s="23">
        <f t="shared" si="0"/>
        <v>120</v>
      </c>
      <c r="Q26" s="23">
        <v>120</v>
      </c>
      <c r="R26" s="23" t="s">
        <v>518</v>
      </c>
      <c r="S26" s="23" t="s">
        <v>44</v>
      </c>
    </row>
    <row r="27" spans="1:19" x14ac:dyDescent="0.2">
      <c r="A27" s="4"/>
      <c r="B27" s="8"/>
      <c r="C27" s="7"/>
      <c r="D27" s="7"/>
      <c r="E27" s="7"/>
      <c r="F27" s="8"/>
      <c r="G27" s="397"/>
      <c r="H27" s="279" t="s">
        <v>217</v>
      </c>
      <c r="I27" s="397">
        <v>1</v>
      </c>
      <c r="J27" s="397">
        <v>2</v>
      </c>
      <c r="K27" s="25" t="s">
        <v>70</v>
      </c>
      <c r="L27" s="22" t="s">
        <v>217</v>
      </c>
      <c r="M27" s="24" t="s">
        <v>225</v>
      </c>
      <c r="N27" s="24">
        <v>2</v>
      </c>
      <c r="O27" s="24">
        <v>2</v>
      </c>
      <c r="P27" s="23">
        <f>O27*2</f>
        <v>4</v>
      </c>
      <c r="Q27" s="23">
        <v>4</v>
      </c>
      <c r="R27" s="23" t="s">
        <v>518</v>
      </c>
      <c r="S27" s="23" t="s">
        <v>44</v>
      </c>
    </row>
    <row r="28" spans="1:19" x14ac:dyDescent="0.2">
      <c r="A28" s="4"/>
      <c r="B28" s="8"/>
      <c r="C28" s="7"/>
      <c r="D28" s="7"/>
      <c r="E28" s="7"/>
      <c r="F28" s="8"/>
      <c r="G28" s="398"/>
      <c r="H28" s="400"/>
      <c r="I28" s="398"/>
      <c r="J28" s="398"/>
      <c r="K28" s="25" t="s">
        <v>77</v>
      </c>
      <c r="L28" s="22" t="s">
        <v>218</v>
      </c>
      <c r="M28" s="24" t="s">
        <v>226</v>
      </c>
      <c r="N28" s="24">
        <v>1</v>
      </c>
      <c r="O28" s="24">
        <v>1</v>
      </c>
      <c r="P28" s="23">
        <f t="shared" ref="P28:P29" si="1">O28*2</f>
        <v>2</v>
      </c>
      <c r="Q28" s="23">
        <v>16</v>
      </c>
      <c r="R28" s="23" t="s">
        <v>496</v>
      </c>
      <c r="S28" s="23" t="s">
        <v>44</v>
      </c>
    </row>
    <row r="29" spans="1:19" x14ac:dyDescent="0.2">
      <c r="A29" s="4"/>
      <c r="B29" s="8"/>
      <c r="C29" s="7"/>
      <c r="D29" s="7"/>
      <c r="E29" s="7"/>
      <c r="F29" s="8"/>
      <c r="G29" s="399"/>
      <c r="H29" s="280"/>
      <c r="I29" s="399"/>
      <c r="J29" s="399"/>
      <c r="K29" s="25" t="s">
        <v>78</v>
      </c>
      <c r="L29" s="22" t="s">
        <v>219</v>
      </c>
      <c r="M29" s="24" t="s">
        <v>227</v>
      </c>
      <c r="N29" s="24">
        <v>1</v>
      </c>
      <c r="O29" s="24">
        <v>1</v>
      </c>
      <c r="P29" s="23">
        <f t="shared" si="1"/>
        <v>2</v>
      </c>
      <c r="Q29" s="23">
        <v>12</v>
      </c>
      <c r="R29" s="23" t="s">
        <v>496</v>
      </c>
      <c r="S29" s="23" t="s">
        <v>44</v>
      </c>
    </row>
    <row r="30" spans="1:19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25" t="s">
        <v>79</v>
      </c>
      <c r="L30" s="127" t="s">
        <v>248</v>
      </c>
      <c r="M30" s="24" t="s">
        <v>667</v>
      </c>
      <c r="N30" s="24">
        <v>3</v>
      </c>
      <c r="O30" s="24">
        <v>3</v>
      </c>
      <c r="P30" s="23">
        <v>3</v>
      </c>
      <c r="Q30" s="23">
        <v>3</v>
      </c>
      <c r="R30" s="23" t="s">
        <v>518</v>
      </c>
      <c r="S30" s="23" t="s">
        <v>44</v>
      </c>
    </row>
  </sheetData>
  <mergeCells count="9">
    <mergeCell ref="H27:H29"/>
    <mergeCell ref="I27:I29"/>
    <mergeCell ref="J27:J29"/>
    <mergeCell ref="A6:B6"/>
    <mergeCell ref="J8:J26"/>
    <mergeCell ref="I8:I26"/>
    <mergeCell ref="H8:H26"/>
    <mergeCell ref="G8:G26"/>
    <mergeCell ref="G27:G29"/>
  </mergeCells>
  <pageMargins left="0.46195652173913043" right="0.7" top="0.56159420289855078" bottom="0.40760869565217389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S16"/>
  <sheetViews>
    <sheetView view="pageLayout" zoomScale="130" zoomScaleNormal="100" zoomScalePageLayoutView="130" workbookViewId="0">
      <selection activeCell="F9" sqref="F9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2</v>
      </c>
      <c r="C8" s="9"/>
      <c r="D8" s="24" t="s">
        <v>198</v>
      </c>
      <c r="E8" s="7"/>
      <c r="F8" s="8"/>
      <c r="G8" s="401"/>
      <c r="H8" s="402" t="s">
        <v>199</v>
      </c>
      <c r="I8" s="401">
        <v>1</v>
      </c>
      <c r="J8" s="401">
        <v>2</v>
      </c>
      <c r="K8" s="25" t="s">
        <v>19</v>
      </c>
      <c r="L8" s="22" t="s">
        <v>184</v>
      </c>
      <c r="M8" s="26" t="s">
        <v>193</v>
      </c>
      <c r="N8" s="24">
        <v>4</v>
      </c>
      <c r="O8" s="24">
        <v>4</v>
      </c>
      <c r="P8" s="23">
        <f>O8*2</f>
        <v>8</v>
      </c>
      <c r="Q8" s="23">
        <v>25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01"/>
      <c r="H9" s="402"/>
      <c r="I9" s="401"/>
      <c r="J9" s="401"/>
      <c r="K9" s="25" t="s">
        <v>21</v>
      </c>
      <c r="L9" s="22" t="s">
        <v>185</v>
      </c>
      <c r="M9" s="33" t="s">
        <v>679</v>
      </c>
      <c r="N9" s="24">
        <v>2</v>
      </c>
      <c r="O9" s="24">
        <v>2</v>
      </c>
      <c r="P9" s="23">
        <f t="shared" ref="P9:P16" si="0">O9*2</f>
        <v>4</v>
      </c>
      <c r="Q9" s="23">
        <v>70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01"/>
      <c r="H10" s="402"/>
      <c r="I10" s="401"/>
      <c r="J10" s="401"/>
      <c r="K10" s="25" t="s">
        <v>23</v>
      </c>
      <c r="L10" s="22" t="s">
        <v>186</v>
      </c>
      <c r="M10" s="33" t="s">
        <v>197</v>
      </c>
      <c r="N10" s="24">
        <v>2</v>
      </c>
      <c r="O10" s="24">
        <v>2</v>
      </c>
      <c r="P10" s="23">
        <f t="shared" si="0"/>
        <v>4</v>
      </c>
      <c r="Q10" s="23">
        <v>25</v>
      </c>
      <c r="R10" s="23" t="s">
        <v>496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01"/>
      <c r="H11" s="402"/>
      <c r="I11" s="401"/>
      <c r="J11" s="401"/>
      <c r="K11" s="25" t="s">
        <v>26</v>
      </c>
      <c r="L11" s="36" t="s">
        <v>187</v>
      </c>
      <c r="M11" s="33" t="s">
        <v>680</v>
      </c>
      <c r="N11" s="33">
        <v>52</v>
      </c>
      <c r="O11" s="33">
        <v>52</v>
      </c>
      <c r="P11" s="23">
        <f t="shared" si="0"/>
        <v>104</v>
      </c>
      <c r="Q11" s="23">
        <v>194</v>
      </c>
      <c r="R11" s="23" t="s">
        <v>496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01"/>
      <c r="H12" s="402"/>
      <c r="I12" s="401"/>
      <c r="J12" s="401"/>
      <c r="K12" s="25" t="s">
        <v>29</v>
      </c>
      <c r="L12" s="40" t="s">
        <v>188</v>
      </c>
      <c r="M12" s="33" t="s">
        <v>194</v>
      </c>
      <c r="N12" s="24">
        <v>2</v>
      </c>
      <c r="O12" s="24">
        <v>2</v>
      </c>
      <c r="P12" s="23">
        <f t="shared" si="0"/>
        <v>4</v>
      </c>
      <c r="Q12" s="23">
        <v>20</v>
      </c>
      <c r="R12" s="23" t="s">
        <v>496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01"/>
      <c r="H13" s="402"/>
      <c r="I13" s="401"/>
      <c r="J13" s="401"/>
      <c r="K13" s="25" t="s">
        <v>32</v>
      </c>
      <c r="L13" s="22" t="s">
        <v>114</v>
      </c>
      <c r="M13" s="33" t="s">
        <v>189</v>
      </c>
      <c r="N13" s="24">
        <v>4</v>
      </c>
      <c r="O13" s="24">
        <v>4</v>
      </c>
      <c r="P13" s="23">
        <f t="shared" si="0"/>
        <v>8</v>
      </c>
      <c r="Q13" s="23">
        <v>1</v>
      </c>
      <c r="R13" s="23" t="s">
        <v>496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01"/>
      <c r="H14" s="402"/>
      <c r="I14" s="401"/>
      <c r="J14" s="401"/>
      <c r="K14" s="25" t="s">
        <v>35</v>
      </c>
      <c r="L14" s="22" t="s">
        <v>190</v>
      </c>
      <c r="M14" s="33" t="s">
        <v>195</v>
      </c>
      <c r="N14" s="24">
        <v>2</v>
      </c>
      <c r="O14" s="24">
        <v>2</v>
      </c>
      <c r="P14" s="23">
        <f t="shared" si="0"/>
        <v>4</v>
      </c>
      <c r="Q14" s="23">
        <v>4</v>
      </c>
      <c r="R14" s="23" t="s">
        <v>518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01"/>
      <c r="H15" s="402"/>
      <c r="I15" s="401"/>
      <c r="J15" s="401"/>
      <c r="K15" s="25" t="s">
        <v>37</v>
      </c>
      <c r="L15" s="22" t="s">
        <v>113</v>
      </c>
      <c r="M15" s="24" t="s">
        <v>196</v>
      </c>
      <c r="N15" s="24">
        <v>2</v>
      </c>
      <c r="O15" s="24">
        <v>2</v>
      </c>
      <c r="P15" s="23">
        <f t="shared" si="0"/>
        <v>4</v>
      </c>
      <c r="Q15" s="23">
        <v>1</v>
      </c>
      <c r="R15" s="23" t="s">
        <v>496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39"/>
      <c r="H16" s="27"/>
      <c r="I16" s="39"/>
      <c r="J16" s="39"/>
      <c r="K16" s="25" t="s">
        <v>40</v>
      </c>
      <c r="L16" s="22" t="s">
        <v>191</v>
      </c>
      <c r="M16" s="24" t="s">
        <v>192</v>
      </c>
      <c r="N16" s="24">
        <v>8</v>
      </c>
      <c r="O16" s="24">
        <v>8</v>
      </c>
      <c r="P16" s="23">
        <f t="shared" si="0"/>
        <v>16</v>
      </c>
      <c r="Q16" s="23">
        <v>4</v>
      </c>
      <c r="R16" s="23" t="s">
        <v>496</v>
      </c>
      <c r="S16" s="23" t="s">
        <v>44</v>
      </c>
    </row>
  </sheetData>
  <mergeCells count="5">
    <mergeCell ref="J8:J15"/>
    <mergeCell ref="I8:I15"/>
    <mergeCell ref="H8:H15"/>
    <mergeCell ref="G8:G15"/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S19"/>
  <sheetViews>
    <sheetView view="pageLayout" zoomScale="115" zoomScaleNormal="100" zoomScalePageLayoutView="115" workbookViewId="0">
      <selection activeCell="D13" sqref="D1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178</v>
      </c>
      <c r="E8" s="7"/>
      <c r="F8" s="8"/>
      <c r="G8" s="397"/>
      <c r="H8" s="279" t="s">
        <v>182</v>
      </c>
      <c r="I8" s="397">
        <v>1</v>
      </c>
      <c r="J8" s="397">
        <v>1</v>
      </c>
      <c r="K8" s="25" t="s">
        <v>19</v>
      </c>
      <c r="L8" s="36" t="s">
        <v>162</v>
      </c>
      <c r="M8" s="38" t="s">
        <v>163</v>
      </c>
      <c r="N8" s="33">
        <v>2</v>
      </c>
      <c r="O8" s="33">
        <v>2</v>
      </c>
      <c r="P8" s="33">
        <v>2</v>
      </c>
      <c r="Q8" s="23">
        <v>3.2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399"/>
      <c r="H9" s="280"/>
      <c r="I9" s="399"/>
      <c r="J9" s="399"/>
      <c r="K9" s="25" t="s">
        <v>21</v>
      </c>
      <c r="L9" s="36" t="s">
        <v>164</v>
      </c>
      <c r="M9" s="33" t="s">
        <v>165</v>
      </c>
      <c r="N9" s="33">
        <v>8</v>
      </c>
      <c r="O9" s="33">
        <v>8</v>
      </c>
      <c r="P9" s="33">
        <v>8</v>
      </c>
      <c r="Q9" s="23">
        <v>1.5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397"/>
      <c r="H10" s="279" t="s">
        <v>183</v>
      </c>
      <c r="I10" s="397">
        <v>2</v>
      </c>
      <c r="J10" s="397">
        <v>2</v>
      </c>
      <c r="K10" s="25" t="s">
        <v>23</v>
      </c>
      <c r="L10" s="36" t="s">
        <v>166</v>
      </c>
      <c r="M10" s="33" t="s">
        <v>179</v>
      </c>
      <c r="N10" s="33">
        <v>4</v>
      </c>
      <c r="O10" s="33">
        <v>4</v>
      </c>
      <c r="P10" s="33">
        <v>4</v>
      </c>
      <c r="Q10" s="23">
        <v>1.6</v>
      </c>
      <c r="R10" s="23" t="s">
        <v>496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398"/>
      <c r="H11" s="400"/>
      <c r="I11" s="398"/>
      <c r="J11" s="398"/>
      <c r="K11" s="25" t="s">
        <v>26</v>
      </c>
      <c r="L11" s="36" t="s">
        <v>167</v>
      </c>
      <c r="M11" s="33" t="s">
        <v>168</v>
      </c>
      <c r="N11" s="33">
        <v>4</v>
      </c>
      <c r="O11" s="33">
        <v>4</v>
      </c>
      <c r="P11" s="33">
        <v>4</v>
      </c>
      <c r="Q11" s="23">
        <v>1.1000000000000001</v>
      </c>
      <c r="R11" s="23" t="s">
        <v>496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398"/>
      <c r="H12" s="400"/>
      <c r="I12" s="398"/>
      <c r="J12" s="398"/>
      <c r="K12" s="25" t="s">
        <v>29</v>
      </c>
      <c r="L12" s="37" t="s">
        <v>169</v>
      </c>
      <c r="M12" s="33" t="s">
        <v>180</v>
      </c>
      <c r="N12" s="33">
        <v>4</v>
      </c>
      <c r="O12" s="33">
        <v>4</v>
      </c>
      <c r="P12" s="33">
        <v>4</v>
      </c>
      <c r="Q12" s="23">
        <v>2.2999999999999998</v>
      </c>
      <c r="R12" s="23" t="s">
        <v>496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398"/>
      <c r="H13" s="400"/>
      <c r="I13" s="398"/>
      <c r="J13" s="398"/>
      <c r="K13" s="25" t="s">
        <v>32</v>
      </c>
      <c r="L13" s="36" t="s">
        <v>170</v>
      </c>
      <c r="M13" s="33" t="s">
        <v>171</v>
      </c>
      <c r="N13" s="33">
        <v>4</v>
      </c>
      <c r="O13" s="33">
        <v>4</v>
      </c>
      <c r="P13" s="33">
        <v>4</v>
      </c>
      <c r="Q13" s="23">
        <v>1.6</v>
      </c>
      <c r="R13" s="23" t="s">
        <v>496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398"/>
      <c r="H14" s="400"/>
      <c r="I14" s="398"/>
      <c r="J14" s="398"/>
      <c r="K14" s="25" t="s">
        <v>35</v>
      </c>
      <c r="L14" s="36" t="s">
        <v>172</v>
      </c>
      <c r="M14" s="33" t="s">
        <v>181</v>
      </c>
      <c r="N14" s="33">
        <v>2</v>
      </c>
      <c r="O14" s="33">
        <v>2</v>
      </c>
      <c r="P14" s="33">
        <v>2</v>
      </c>
      <c r="Q14" s="23">
        <v>2</v>
      </c>
      <c r="R14" s="23" t="s">
        <v>496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398"/>
      <c r="H15" s="400"/>
      <c r="I15" s="398"/>
      <c r="J15" s="398"/>
      <c r="K15" s="25" t="s">
        <v>37</v>
      </c>
      <c r="L15" s="36" t="s">
        <v>81</v>
      </c>
      <c r="M15" s="33" t="s">
        <v>173</v>
      </c>
      <c r="N15" s="33">
        <v>2</v>
      </c>
      <c r="O15" s="33">
        <v>2</v>
      </c>
      <c r="P15" s="33">
        <v>2</v>
      </c>
      <c r="Q15" s="23">
        <v>0.19</v>
      </c>
      <c r="R15" s="23" t="s">
        <v>496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398"/>
      <c r="H16" s="400"/>
      <c r="I16" s="398"/>
      <c r="J16" s="398"/>
      <c r="K16" s="25" t="s">
        <v>40</v>
      </c>
      <c r="L16" s="36" t="s">
        <v>174</v>
      </c>
      <c r="M16" s="33" t="s">
        <v>175</v>
      </c>
      <c r="N16" s="33">
        <v>2</v>
      </c>
      <c r="O16" s="33">
        <v>2</v>
      </c>
      <c r="P16" s="33">
        <v>2</v>
      </c>
      <c r="Q16" s="23">
        <v>0.5</v>
      </c>
      <c r="R16" s="23" t="s">
        <v>496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399"/>
      <c r="H17" s="280"/>
      <c r="I17" s="399"/>
      <c r="J17" s="399"/>
      <c r="K17" s="25" t="s">
        <v>51</v>
      </c>
      <c r="L17" s="36" t="s">
        <v>176</v>
      </c>
      <c r="M17" s="33" t="s">
        <v>177</v>
      </c>
      <c r="N17" s="33">
        <v>2</v>
      </c>
      <c r="O17" s="33">
        <v>2</v>
      </c>
      <c r="P17" s="33">
        <v>2</v>
      </c>
      <c r="Q17" s="23">
        <v>0.3</v>
      </c>
      <c r="R17" s="23" t="s">
        <v>496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19"/>
      <c r="H18" s="27"/>
      <c r="I18" s="39"/>
      <c r="J18" s="39"/>
      <c r="K18" s="25" t="s">
        <v>52</v>
      </c>
      <c r="L18" s="36" t="s">
        <v>24</v>
      </c>
      <c r="M18" s="33" t="s">
        <v>25</v>
      </c>
      <c r="N18" s="33">
        <v>6</v>
      </c>
      <c r="O18" s="33">
        <v>6</v>
      </c>
      <c r="P18" s="33">
        <v>6</v>
      </c>
      <c r="Q18" s="23">
        <v>6</v>
      </c>
      <c r="R18" s="23" t="s">
        <v>518</v>
      </c>
      <c r="S18" s="23" t="s">
        <v>44</v>
      </c>
    </row>
    <row r="19" spans="1:19" x14ac:dyDescent="0.2">
      <c r="A19" s="4"/>
      <c r="B19" s="8"/>
      <c r="C19" s="7"/>
      <c r="D19" s="7"/>
      <c r="E19" s="7"/>
      <c r="F19" s="8"/>
      <c r="G19" s="19"/>
      <c r="H19" s="27"/>
      <c r="I19" s="39"/>
      <c r="J19" s="39"/>
      <c r="K19" s="25" t="s">
        <v>53</v>
      </c>
      <c r="L19" s="36" t="s">
        <v>84</v>
      </c>
      <c r="M19" s="33" t="s">
        <v>28</v>
      </c>
      <c r="N19" s="33">
        <v>6</v>
      </c>
      <c r="O19" s="33">
        <v>6</v>
      </c>
      <c r="P19" s="33">
        <v>6</v>
      </c>
      <c r="Q19" s="23">
        <v>6</v>
      </c>
      <c r="R19" s="23" t="s">
        <v>518</v>
      </c>
      <c r="S19" s="23" t="s">
        <v>44</v>
      </c>
    </row>
  </sheetData>
  <mergeCells count="9">
    <mergeCell ref="J10:J17"/>
    <mergeCell ref="I10:I17"/>
    <mergeCell ref="H10:H17"/>
    <mergeCell ref="G10:G17"/>
    <mergeCell ref="A6:B6"/>
    <mergeCell ref="J8:J9"/>
    <mergeCell ref="I8:I9"/>
    <mergeCell ref="H8:H9"/>
    <mergeCell ref="G8:G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S11"/>
  <sheetViews>
    <sheetView view="pageLayout" zoomScale="130" zoomScaleNormal="100" zoomScalePageLayoutView="130" workbookViewId="0">
      <selection activeCell="F9" sqref="F9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64</v>
      </c>
      <c r="E8" s="7"/>
      <c r="F8" s="8"/>
      <c r="G8" s="403"/>
      <c r="H8" s="279" t="s">
        <v>161</v>
      </c>
      <c r="I8" s="397">
        <v>1</v>
      </c>
      <c r="J8" s="397">
        <v>1</v>
      </c>
      <c r="K8" s="25" t="s">
        <v>19</v>
      </c>
      <c r="L8" s="36" t="s">
        <v>71</v>
      </c>
      <c r="M8" s="38" t="s">
        <v>678</v>
      </c>
      <c r="N8" s="33">
        <v>1</v>
      </c>
      <c r="O8" s="33">
        <v>1</v>
      </c>
      <c r="P8" s="33">
        <v>1</v>
      </c>
      <c r="Q8" s="23">
        <v>1</v>
      </c>
      <c r="R8" s="23" t="s">
        <v>518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04"/>
      <c r="H9" s="400"/>
      <c r="I9" s="398"/>
      <c r="J9" s="398"/>
      <c r="K9" s="25" t="s">
        <v>21</v>
      </c>
      <c r="L9" s="36" t="s">
        <v>73</v>
      </c>
      <c r="M9" s="33" t="s">
        <v>160</v>
      </c>
      <c r="N9" s="33">
        <v>1</v>
      </c>
      <c r="O9" s="33">
        <v>1</v>
      </c>
      <c r="P9" s="33">
        <v>1</v>
      </c>
      <c r="Q9" s="23">
        <v>96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04"/>
      <c r="H10" s="400"/>
      <c r="I10" s="398"/>
      <c r="J10" s="398"/>
      <c r="K10" s="25" t="s">
        <v>23</v>
      </c>
      <c r="L10" s="36" t="s">
        <v>72</v>
      </c>
      <c r="M10" s="33" t="s">
        <v>677</v>
      </c>
      <c r="N10" s="33">
        <v>1</v>
      </c>
      <c r="O10" s="33">
        <v>1</v>
      </c>
      <c r="P10" s="33">
        <v>1</v>
      </c>
      <c r="Q10" s="23">
        <v>1</v>
      </c>
      <c r="R10" s="23" t="s">
        <v>518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05"/>
      <c r="H11" s="280"/>
      <c r="I11" s="399"/>
      <c r="J11" s="399"/>
      <c r="K11" s="25" t="s">
        <v>26</v>
      </c>
      <c r="L11" s="36" t="s">
        <v>74</v>
      </c>
      <c r="M11" s="33">
        <v>120</v>
      </c>
      <c r="N11" s="33">
        <v>1</v>
      </c>
      <c r="O11" s="33">
        <v>1</v>
      </c>
      <c r="P11" s="33">
        <v>1</v>
      </c>
      <c r="Q11" s="23">
        <v>1</v>
      </c>
      <c r="R11" s="23" t="s">
        <v>518</v>
      </c>
      <c r="S11" s="23" t="s">
        <v>44</v>
      </c>
    </row>
  </sheetData>
  <mergeCells count="5">
    <mergeCell ref="A6:B6"/>
    <mergeCell ref="J8:J11"/>
    <mergeCell ref="I8:I11"/>
    <mergeCell ref="H8:H11"/>
    <mergeCell ref="G8:G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S27"/>
  <sheetViews>
    <sheetView view="pageLayout" topLeftCell="A7" zoomScale="115" zoomScaleNormal="100" zoomScalePageLayoutView="115" workbookViewId="0">
      <selection activeCell="F10" sqref="F1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7</v>
      </c>
      <c r="C8" s="9"/>
      <c r="D8" s="35" t="s">
        <v>127</v>
      </c>
      <c r="E8" s="7"/>
      <c r="F8" s="8"/>
      <c r="G8" s="403"/>
      <c r="H8" s="279" t="s">
        <v>672</v>
      </c>
      <c r="I8" s="397">
        <v>1</v>
      </c>
      <c r="J8" s="397">
        <v>7</v>
      </c>
      <c r="K8" s="25" t="s">
        <v>19</v>
      </c>
      <c r="L8" s="36" t="s">
        <v>128</v>
      </c>
      <c r="M8" s="38" t="s">
        <v>129</v>
      </c>
      <c r="N8" s="33">
        <v>1</v>
      </c>
      <c r="O8" s="33">
        <v>1</v>
      </c>
      <c r="P8" s="34">
        <f>O8*7</f>
        <v>7</v>
      </c>
      <c r="Q8" s="23">
        <v>91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04"/>
      <c r="H9" s="400"/>
      <c r="I9" s="398"/>
      <c r="J9" s="398"/>
      <c r="K9" s="25" t="s">
        <v>21</v>
      </c>
      <c r="L9" s="36" t="s">
        <v>130</v>
      </c>
      <c r="M9" s="33" t="s">
        <v>131</v>
      </c>
      <c r="N9" s="33">
        <v>1</v>
      </c>
      <c r="O9" s="33">
        <v>1</v>
      </c>
      <c r="P9" s="34">
        <f t="shared" ref="P9:P27" si="0">O9*7</f>
        <v>7</v>
      </c>
      <c r="Q9" s="23">
        <v>89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04"/>
      <c r="H10" s="400"/>
      <c r="I10" s="398"/>
      <c r="J10" s="398"/>
      <c r="K10" s="25" t="s">
        <v>23</v>
      </c>
      <c r="L10" s="36" t="s">
        <v>132</v>
      </c>
      <c r="M10" s="33" t="s">
        <v>133</v>
      </c>
      <c r="N10" s="33">
        <v>3</v>
      </c>
      <c r="O10" s="33">
        <v>3</v>
      </c>
      <c r="P10" s="34">
        <f t="shared" si="0"/>
        <v>21</v>
      </c>
      <c r="Q10" s="23">
        <v>24</v>
      </c>
      <c r="R10" s="23" t="s">
        <v>496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04"/>
      <c r="H11" s="400"/>
      <c r="I11" s="398"/>
      <c r="J11" s="398"/>
      <c r="K11" s="25" t="s">
        <v>26</v>
      </c>
      <c r="L11" s="36" t="s">
        <v>82</v>
      </c>
      <c r="M11" s="33" t="s">
        <v>134</v>
      </c>
      <c r="N11" s="33">
        <v>2</v>
      </c>
      <c r="O11" s="33">
        <v>2</v>
      </c>
      <c r="P11" s="34">
        <f t="shared" si="0"/>
        <v>14</v>
      </c>
      <c r="Q11" s="23">
        <v>37</v>
      </c>
      <c r="R11" s="23" t="s">
        <v>496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404"/>
      <c r="H12" s="400"/>
      <c r="I12" s="398"/>
      <c r="J12" s="398"/>
      <c r="K12" s="25" t="s">
        <v>29</v>
      </c>
      <c r="L12" s="36" t="s">
        <v>83</v>
      </c>
      <c r="M12" s="33" t="s">
        <v>135</v>
      </c>
      <c r="N12" s="33">
        <v>2</v>
      </c>
      <c r="O12" s="33">
        <v>2</v>
      </c>
      <c r="P12" s="34">
        <f t="shared" si="0"/>
        <v>14</v>
      </c>
      <c r="Q12" s="23">
        <v>97</v>
      </c>
      <c r="R12" s="23" t="s">
        <v>496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404"/>
      <c r="H13" s="400"/>
      <c r="I13" s="398"/>
      <c r="J13" s="398"/>
      <c r="K13" s="25" t="s">
        <v>32</v>
      </c>
      <c r="L13" s="36" t="s">
        <v>81</v>
      </c>
      <c r="M13" s="33" t="s">
        <v>44</v>
      </c>
      <c r="N13" s="33">
        <v>1</v>
      </c>
      <c r="O13" s="33">
        <v>1</v>
      </c>
      <c r="P13" s="34">
        <f t="shared" si="0"/>
        <v>7</v>
      </c>
      <c r="Q13" s="23">
        <v>7</v>
      </c>
      <c r="R13" s="23" t="s">
        <v>518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404"/>
      <c r="H14" s="400"/>
      <c r="I14" s="398"/>
      <c r="J14" s="398"/>
      <c r="K14" s="25" t="s">
        <v>35</v>
      </c>
      <c r="L14" s="36" t="s">
        <v>136</v>
      </c>
      <c r="M14" s="33" t="s">
        <v>137</v>
      </c>
      <c r="N14" s="33">
        <v>1</v>
      </c>
      <c r="O14" s="33">
        <v>1</v>
      </c>
      <c r="P14" s="34">
        <f t="shared" si="0"/>
        <v>7</v>
      </c>
      <c r="Q14" s="23">
        <v>0.5</v>
      </c>
      <c r="R14" s="23" t="s">
        <v>496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404"/>
      <c r="H15" s="400"/>
      <c r="I15" s="398"/>
      <c r="J15" s="398"/>
      <c r="K15" s="25" t="s">
        <v>37</v>
      </c>
      <c r="L15" s="36" t="s">
        <v>138</v>
      </c>
      <c r="M15" s="33" t="s">
        <v>139</v>
      </c>
      <c r="N15" s="33">
        <v>3</v>
      </c>
      <c r="O15" s="33">
        <v>3</v>
      </c>
      <c r="P15" s="34">
        <f t="shared" si="0"/>
        <v>21</v>
      </c>
      <c r="Q15" s="23">
        <v>2.5</v>
      </c>
      <c r="R15" s="23" t="s">
        <v>496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404"/>
      <c r="H16" s="400"/>
      <c r="I16" s="398"/>
      <c r="J16" s="398"/>
      <c r="K16" s="25" t="s">
        <v>40</v>
      </c>
      <c r="L16" s="36" t="s">
        <v>140</v>
      </c>
      <c r="M16" s="33" t="s">
        <v>141</v>
      </c>
      <c r="N16" s="33">
        <v>3</v>
      </c>
      <c r="O16" s="33">
        <v>3</v>
      </c>
      <c r="P16" s="34">
        <f t="shared" si="0"/>
        <v>21</v>
      </c>
      <c r="Q16" s="23">
        <v>2.7</v>
      </c>
      <c r="R16" s="23" t="s">
        <v>496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404"/>
      <c r="H17" s="400"/>
      <c r="I17" s="398"/>
      <c r="J17" s="398"/>
      <c r="K17" s="25" t="s">
        <v>51</v>
      </c>
      <c r="L17" s="36" t="s">
        <v>142</v>
      </c>
      <c r="M17" s="33" t="s">
        <v>143</v>
      </c>
      <c r="N17" s="33">
        <v>3</v>
      </c>
      <c r="O17" s="33">
        <v>3</v>
      </c>
      <c r="P17" s="34">
        <f t="shared" si="0"/>
        <v>21</v>
      </c>
      <c r="Q17" s="23">
        <v>5.7</v>
      </c>
      <c r="R17" s="23" t="s">
        <v>496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404"/>
      <c r="H18" s="400"/>
      <c r="I18" s="398"/>
      <c r="J18" s="398"/>
      <c r="K18" s="25" t="s">
        <v>52</v>
      </c>
      <c r="L18" s="36" t="s">
        <v>144</v>
      </c>
      <c r="M18" s="33" t="s">
        <v>145</v>
      </c>
      <c r="N18" s="33">
        <v>3</v>
      </c>
      <c r="O18" s="33">
        <v>3</v>
      </c>
      <c r="P18" s="34">
        <f t="shared" si="0"/>
        <v>21</v>
      </c>
      <c r="Q18" s="23">
        <v>3.7</v>
      </c>
      <c r="R18" s="23" t="s">
        <v>496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404"/>
      <c r="H19" s="400"/>
      <c r="I19" s="398"/>
      <c r="J19" s="398"/>
      <c r="K19" s="25" t="s">
        <v>53</v>
      </c>
      <c r="L19" s="36" t="s">
        <v>38</v>
      </c>
      <c r="M19" s="33" t="s">
        <v>146</v>
      </c>
      <c r="N19" s="33">
        <v>9</v>
      </c>
      <c r="O19" s="33">
        <v>9</v>
      </c>
      <c r="P19" s="34">
        <f t="shared" si="0"/>
        <v>63</v>
      </c>
      <c r="Q19" s="34">
        <v>63</v>
      </c>
      <c r="R19" s="23" t="s">
        <v>518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404"/>
      <c r="H20" s="400"/>
      <c r="I20" s="398"/>
      <c r="J20" s="398"/>
      <c r="K20" s="25" t="s">
        <v>57</v>
      </c>
      <c r="L20" s="36" t="s">
        <v>159</v>
      </c>
      <c r="M20" s="33" t="s">
        <v>85</v>
      </c>
      <c r="N20" s="33">
        <v>9</v>
      </c>
      <c r="O20" s="33">
        <v>9</v>
      </c>
      <c r="P20" s="34">
        <f t="shared" si="0"/>
        <v>63</v>
      </c>
      <c r="Q20" s="34">
        <v>63</v>
      </c>
      <c r="R20" s="23" t="s">
        <v>518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404"/>
      <c r="H21" s="400"/>
      <c r="I21" s="398"/>
      <c r="J21" s="398"/>
      <c r="K21" s="25" t="s">
        <v>58</v>
      </c>
      <c r="L21" s="36" t="s">
        <v>147</v>
      </c>
      <c r="M21" s="33" t="s">
        <v>39</v>
      </c>
      <c r="N21" s="33">
        <v>1</v>
      </c>
      <c r="O21" s="33">
        <v>1</v>
      </c>
      <c r="P21" s="34">
        <f t="shared" si="0"/>
        <v>7</v>
      </c>
      <c r="Q21" s="34">
        <v>7</v>
      </c>
      <c r="R21" s="23" t="s">
        <v>518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404"/>
      <c r="H22" s="400"/>
      <c r="I22" s="398"/>
      <c r="J22" s="398"/>
      <c r="K22" s="25" t="s">
        <v>65</v>
      </c>
      <c r="L22" s="36" t="s">
        <v>148</v>
      </c>
      <c r="M22" s="33" t="s">
        <v>149</v>
      </c>
      <c r="N22" s="33">
        <v>4</v>
      </c>
      <c r="O22" s="33">
        <v>4</v>
      </c>
      <c r="P22" s="34">
        <f t="shared" si="0"/>
        <v>28</v>
      </c>
      <c r="Q22" s="23">
        <v>16</v>
      </c>
      <c r="R22" s="23" t="s">
        <v>496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404"/>
      <c r="H23" s="400"/>
      <c r="I23" s="398"/>
      <c r="J23" s="398"/>
      <c r="K23" s="25" t="s">
        <v>66</v>
      </c>
      <c r="L23" s="36" t="s">
        <v>150</v>
      </c>
      <c r="M23" s="33" t="s">
        <v>158</v>
      </c>
      <c r="N23" s="33">
        <v>1</v>
      </c>
      <c r="O23" s="33">
        <v>1</v>
      </c>
      <c r="P23" s="34">
        <f t="shared" si="0"/>
        <v>7</v>
      </c>
      <c r="Q23" s="23">
        <v>7</v>
      </c>
      <c r="R23" s="23" t="s">
        <v>518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404"/>
      <c r="H24" s="400"/>
      <c r="I24" s="398"/>
      <c r="J24" s="398"/>
      <c r="K24" s="25" t="s">
        <v>67</v>
      </c>
      <c r="L24" s="36" t="s">
        <v>151</v>
      </c>
      <c r="M24" s="33" t="s">
        <v>152</v>
      </c>
      <c r="N24" s="33">
        <v>1</v>
      </c>
      <c r="O24" s="33">
        <v>1</v>
      </c>
      <c r="P24" s="34">
        <f t="shared" si="0"/>
        <v>7</v>
      </c>
      <c r="Q24" s="23">
        <v>7</v>
      </c>
      <c r="R24" s="23" t="s">
        <v>518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404"/>
      <c r="H25" s="400"/>
      <c r="I25" s="398"/>
      <c r="J25" s="398"/>
      <c r="K25" s="25" t="s">
        <v>68</v>
      </c>
      <c r="L25" s="36" t="s">
        <v>153</v>
      </c>
      <c r="M25" s="33" t="s">
        <v>154</v>
      </c>
      <c r="N25" s="33">
        <v>1</v>
      </c>
      <c r="O25" s="33">
        <v>1</v>
      </c>
      <c r="P25" s="34">
        <f t="shared" si="0"/>
        <v>7</v>
      </c>
      <c r="Q25" s="23">
        <v>7</v>
      </c>
      <c r="R25" s="23" t="s">
        <v>518</v>
      </c>
      <c r="S25" s="23" t="s">
        <v>44</v>
      </c>
    </row>
    <row r="26" spans="1:19" x14ac:dyDescent="0.2">
      <c r="A26" s="4"/>
      <c r="B26" s="8"/>
      <c r="C26" s="7"/>
      <c r="D26" s="7"/>
      <c r="E26" s="7"/>
      <c r="F26" s="8"/>
      <c r="G26" s="404"/>
      <c r="H26" s="400"/>
      <c r="I26" s="398"/>
      <c r="J26" s="398"/>
      <c r="K26" s="25" t="s">
        <v>69</v>
      </c>
      <c r="L26" s="36" t="s">
        <v>155</v>
      </c>
      <c r="M26" s="33" t="s">
        <v>154</v>
      </c>
      <c r="N26" s="33">
        <v>1</v>
      </c>
      <c r="O26" s="33">
        <v>1</v>
      </c>
      <c r="P26" s="34">
        <f t="shared" si="0"/>
        <v>7</v>
      </c>
      <c r="Q26" s="23">
        <v>7</v>
      </c>
      <c r="R26" s="23" t="s">
        <v>518</v>
      </c>
      <c r="S26" s="23" t="s">
        <v>44</v>
      </c>
    </row>
    <row r="27" spans="1:19" x14ac:dyDescent="0.2">
      <c r="A27" s="4"/>
      <c r="B27" s="8"/>
      <c r="C27" s="7"/>
      <c r="D27" s="7"/>
      <c r="E27" s="7"/>
      <c r="F27" s="8"/>
      <c r="G27" s="405"/>
      <c r="H27" s="280"/>
      <c r="I27" s="399"/>
      <c r="J27" s="399"/>
      <c r="K27" s="25" t="s">
        <v>70</v>
      </c>
      <c r="L27" s="36" t="s">
        <v>157</v>
      </c>
      <c r="M27" s="33" t="s">
        <v>156</v>
      </c>
      <c r="N27" s="33">
        <v>1</v>
      </c>
      <c r="O27" s="33">
        <v>1</v>
      </c>
      <c r="P27" s="34">
        <f t="shared" si="0"/>
        <v>7</v>
      </c>
      <c r="Q27" s="23">
        <v>7</v>
      </c>
      <c r="R27" s="23" t="s">
        <v>518</v>
      </c>
      <c r="S27" s="23" t="s">
        <v>44</v>
      </c>
    </row>
  </sheetData>
  <mergeCells count="5">
    <mergeCell ref="A6:B6"/>
    <mergeCell ref="J8:J27"/>
    <mergeCell ref="G8:G27"/>
    <mergeCell ref="H8:H27"/>
    <mergeCell ref="I8:I2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S26"/>
  <sheetViews>
    <sheetView view="pageLayout" topLeftCell="A4" zoomScale="115" zoomScaleNormal="100" zoomScalePageLayoutView="115" workbookViewId="0">
      <selection activeCell="F7" sqref="F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406" t="s">
        <v>56</v>
      </c>
      <c r="E8" s="7"/>
      <c r="F8" s="8"/>
      <c r="G8" s="403"/>
      <c r="H8" s="279" t="s">
        <v>188</v>
      </c>
      <c r="I8" s="397">
        <v>2</v>
      </c>
      <c r="J8" s="397">
        <v>2</v>
      </c>
      <c r="K8" s="25" t="s">
        <v>19</v>
      </c>
      <c r="L8" s="36" t="s">
        <v>113</v>
      </c>
      <c r="M8" s="33" t="s">
        <v>125</v>
      </c>
      <c r="N8" s="33">
        <v>2</v>
      </c>
      <c r="O8" s="33">
        <f>N8</f>
        <v>2</v>
      </c>
      <c r="P8" s="34">
        <f>O8</f>
        <v>2</v>
      </c>
      <c r="Q8" s="23">
        <v>2</v>
      </c>
      <c r="R8" s="23" t="s">
        <v>518</v>
      </c>
      <c r="S8" s="23" t="s">
        <v>44</v>
      </c>
    </row>
    <row r="9" spans="1:19" ht="14.25" customHeight="1" x14ac:dyDescent="0.2">
      <c r="A9" s="4"/>
      <c r="B9" s="8"/>
      <c r="C9" s="7"/>
      <c r="D9" s="407"/>
      <c r="E9" s="7"/>
      <c r="F9" s="8"/>
      <c r="G9" s="404"/>
      <c r="H9" s="400"/>
      <c r="I9" s="398"/>
      <c r="J9" s="398"/>
      <c r="K9" s="25" t="s">
        <v>21</v>
      </c>
      <c r="L9" s="36" t="s">
        <v>114</v>
      </c>
      <c r="M9" s="33" t="s">
        <v>44</v>
      </c>
      <c r="N9" s="33">
        <v>4</v>
      </c>
      <c r="O9" s="33">
        <f t="shared" ref="O9:P26" si="0">N9</f>
        <v>4</v>
      </c>
      <c r="P9" s="34">
        <f t="shared" si="0"/>
        <v>4</v>
      </c>
      <c r="Q9" s="23">
        <v>4</v>
      </c>
      <c r="R9" s="23" t="s">
        <v>518</v>
      </c>
      <c r="S9" s="23" t="s">
        <v>44</v>
      </c>
    </row>
    <row r="10" spans="1:19" ht="14.25" customHeight="1" x14ac:dyDescent="0.2">
      <c r="A10" s="8"/>
      <c r="B10" s="8"/>
      <c r="C10" s="8"/>
      <c r="D10" s="407"/>
      <c r="E10" s="8"/>
      <c r="F10" s="8"/>
      <c r="G10" s="404"/>
      <c r="H10" s="400"/>
      <c r="I10" s="398"/>
      <c r="J10" s="398"/>
      <c r="K10" s="25" t="s">
        <v>23</v>
      </c>
      <c r="L10" s="36" t="s">
        <v>115</v>
      </c>
      <c r="M10" s="33" t="s">
        <v>44</v>
      </c>
      <c r="N10" s="33">
        <v>2</v>
      </c>
      <c r="O10" s="33">
        <f t="shared" si="0"/>
        <v>2</v>
      </c>
      <c r="P10" s="34">
        <f t="shared" si="0"/>
        <v>2</v>
      </c>
      <c r="Q10" s="23">
        <v>2</v>
      </c>
      <c r="R10" s="23" t="s">
        <v>518</v>
      </c>
      <c r="S10" s="23" t="s">
        <v>44</v>
      </c>
    </row>
    <row r="11" spans="1:19" ht="14.25" customHeight="1" x14ac:dyDescent="0.2">
      <c r="A11" s="4"/>
      <c r="B11" s="8"/>
      <c r="C11" s="7"/>
      <c r="D11" s="407"/>
      <c r="E11" s="7"/>
      <c r="F11" s="8"/>
      <c r="G11" s="404"/>
      <c r="H11" s="400"/>
      <c r="I11" s="398"/>
      <c r="J11" s="398"/>
      <c r="K11" s="25" t="s">
        <v>26</v>
      </c>
      <c r="L11" s="36" t="s">
        <v>116</v>
      </c>
      <c r="M11" s="33" t="s">
        <v>117</v>
      </c>
      <c r="N11" s="33">
        <v>2</v>
      </c>
      <c r="O11" s="33">
        <f t="shared" si="0"/>
        <v>2</v>
      </c>
      <c r="P11" s="34">
        <f t="shared" si="0"/>
        <v>2</v>
      </c>
      <c r="Q11" s="23">
        <v>9</v>
      </c>
      <c r="R11" s="23" t="s">
        <v>496</v>
      </c>
      <c r="S11" s="23" t="s">
        <v>44</v>
      </c>
    </row>
    <row r="12" spans="1:19" ht="14.25" customHeight="1" x14ac:dyDescent="0.2">
      <c r="A12" s="4"/>
      <c r="B12" s="8"/>
      <c r="C12" s="7"/>
      <c r="D12" s="407"/>
      <c r="E12" s="7"/>
      <c r="F12" s="8"/>
      <c r="G12" s="404"/>
      <c r="H12" s="400"/>
      <c r="I12" s="398"/>
      <c r="J12" s="398"/>
      <c r="K12" s="25" t="s">
        <v>29</v>
      </c>
      <c r="L12" s="37" t="s">
        <v>118</v>
      </c>
      <c r="M12" s="33" t="s">
        <v>44</v>
      </c>
      <c r="N12" s="33">
        <v>16</v>
      </c>
      <c r="O12" s="33">
        <f t="shared" si="0"/>
        <v>16</v>
      </c>
      <c r="P12" s="34">
        <f t="shared" si="0"/>
        <v>16</v>
      </c>
      <c r="Q12" s="23">
        <v>16</v>
      </c>
      <c r="R12" s="23" t="s">
        <v>518</v>
      </c>
      <c r="S12" s="23" t="s">
        <v>44</v>
      </c>
    </row>
    <row r="13" spans="1:19" ht="14.25" customHeight="1" x14ac:dyDescent="0.2">
      <c r="A13" s="4"/>
      <c r="B13" s="8"/>
      <c r="C13" s="7"/>
      <c r="D13" s="407"/>
      <c r="E13" s="7"/>
      <c r="F13" s="8"/>
      <c r="G13" s="405"/>
      <c r="H13" s="280"/>
      <c r="I13" s="399"/>
      <c r="J13" s="399"/>
      <c r="K13" s="25" t="s">
        <v>32</v>
      </c>
      <c r="L13" s="36" t="s">
        <v>119</v>
      </c>
      <c r="M13" s="33" t="s">
        <v>44</v>
      </c>
      <c r="N13" s="33">
        <v>16</v>
      </c>
      <c r="O13" s="33">
        <f t="shared" si="0"/>
        <v>16</v>
      </c>
      <c r="P13" s="34">
        <f t="shared" si="0"/>
        <v>16</v>
      </c>
      <c r="Q13" s="23">
        <v>16</v>
      </c>
      <c r="R13" s="23" t="s">
        <v>518</v>
      </c>
      <c r="S13" s="23" t="s">
        <v>44</v>
      </c>
    </row>
    <row r="14" spans="1:19" ht="14.25" customHeight="1" x14ac:dyDescent="0.2">
      <c r="A14" s="4"/>
      <c r="B14" s="8"/>
      <c r="C14" s="7"/>
      <c r="D14" s="407"/>
      <c r="E14" s="7"/>
      <c r="F14" s="8"/>
      <c r="G14" s="10"/>
      <c r="H14" s="18"/>
      <c r="I14" s="19"/>
      <c r="J14" s="19"/>
      <c r="K14" s="25" t="s">
        <v>35</v>
      </c>
      <c r="L14" s="36" t="s">
        <v>120</v>
      </c>
      <c r="M14" s="33" t="s">
        <v>44</v>
      </c>
      <c r="N14" s="33">
        <v>16</v>
      </c>
      <c r="O14" s="33">
        <f t="shared" si="0"/>
        <v>16</v>
      </c>
      <c r="P14" s="34">
        <f t="shared" si="0"/>
        <v>16</v>
      </c>
      <c r="Q14" s="23">
        <v>16</v>
      </c>
      <c r="R14" s="23" t="s">
        <v>518</v>
      </c>
      <c r="S14" s="23" t="s">
        <v>44</v>
      </c>
    </row>
    <row r="15" spans="1:19" ht="14.25" customHeight="1" x14ac:dyDescent="0.2">
      <c r="A15" s="4"/>
      <c r="B15" s="8"/>
      <c r="C15" s="7"/>
      <c r="D15" s="407"/>
      <c r="E15" s="7"/>
      <c r="F15" s="8"/>
      <c r="G15" s="10"/>
      <c r="H15" s="18"/>
      <c r="I15" s="19"/>
      <c r="J15" s="19"/>
      <c r="K15" s="25" t="s">
        <v>37</v>
      </c>
      <c r="L15" s="36" t="s">
        <v>50</v>
      </c>
      <c r="M15" s="33" t="s">
        <v>44</v>
      </c>
      <c r="N15" s="33">
        <v>16</v>
      </c>
      <c r="O15" s="33">
        <f t="shared" si="0"/>
        <v>16</v>
      </c>
      <c r="P15" s="34">
        <f t="shared" si="0"/>
        <v>16</v>
      </c>
      <c r="Q15" s="23">
        <v>16</v>
      </c>
      <c r="R15" s="23" t="s">
        <v>518</v>
      </c>
      <c r="S15" s="23" t="s">
        <v>44</v>
      </c>
    </row>
    <row r="16" spans="1:19" ht="14.25" customHeight="1" x14ac:dyDescent="0.2">
      <c r="A16" s="4"/>
      <c r="B16" s="8"/>
      <c r="C16" s="7"/>
      <c r="D16" s="407"/>
      <c r="E16" s="7"/>
      <c r="F16" s="8"/>
      <c r="G16" s="403"/>
      <c r="H16" s="279" t="s">
        <v>671</v>
      </c>
      <c r="I16" s="397">
        <v>16</v>
      </c>
      <c r="J16" s="397">
        <v>16</v>
      </c>
      <c r="K16" s="25" t="s">
        <v>40</v>
      </c>
      <c r="L16" s="36" t="s">
        <v>45</v>
      </c>
      <c r="M16" s="38" t="s">
        <v>676</v>
      </c>
      <c r="N16" s="33">
        <v>16</v>
      </c>
      <c r="O16" s="33">
        <f t="shared" si="0"/>
        <v>16</v>
      </c>
      <c r="P16" s="34">
        <f t="shared" si="0"/>
        <v>16</v>
      </c>
      <c r="Q16" s="23">
        <v>16</v>
      </c>
      <c r="R16" s="23" t="s">
        <v>518</v>
      </c>
      <c r="S16" s="23" t="s">
        <v>44</v>
      </c>
    </row>
    <row r="17" spans="1:19" ht="14.25" customHeight="1" x14ac:dyDescent="0.2">
      <c r="A17" s="4"/>
      <c r="B17" s="8"/>
      <c r="C17" s="7"/>
      <c r="D17" s="407"/>
      <c r="E17" s="7"/>
      <c r="F17" s="8"/>
      <c r="G17" s="405"/>
      <c r="H17" s="280"/>
      <c r="I17" s="399"/>
      <c r="J17" s="399"/>
      <c r="K17" s="25" t="s">
        <v>51</v>
      </c>
      <c r="L17" s="36" t="s">
        <v>46</v>
      </c>
      <c r="M17" s="33" t="s">
        <v>44</v>
      </c>
      <c r="N17" s="33">
        <v>16</v>
      </c>
      <c r="O17" s="33">
        <f t="shared" si="0"/>
        <v>16</v>
      </c>
      <c r="P17" s="34">
        <f t="shared" si="0"/>
        <v>16</v>
      </c>
      <c r="Q17" s="23">
        <v>16</v>
      </c>
      <c r="R17" s="23" t="s">
        <v>518</v>
      </c>
      <c r="S17" s="23" t="s">
        <v>44</v>
      </c>
    </row>
    <row r="18" spans="1:19" ht="14.25" customHeight="1" x14ac:dyDescent="0.2">
      <c r="A18" s="4"/>
      <c r="B18" s="8"/>
      <c r="C18" s="7"/>
      <c r="D18" s="407"/>
      <c r="E18" s="7"/>
      <c r="F18" s="8"/>
      <c r="G18" s="10"/>
      <c r="H18" s="18"/>
      <c r="I18" s="19"/>
      <c r="J18" s="19"/>
      <c r="K18" s="25" t="s">
        <v>52</v>
      </c>
      <c r="L18" s="36" t="s">
        <v>48</v>
      </c>
      <c r="M18" s="33" t="s">
        <v>44</v>
      </c>
      <c r="N18" s="33">
        <v>496</v>
      </c>
      <c r="O18" s="33">
        <f t="shared" si="0"/>
        <v>496</v>
      </c>
      <c r="P18" s="34">
        <f t="shared" si="0"/>
        <v>496</v>
      </c>
      <c r="Q18" s="23">
        <v>496</v>
      </c>
      <c r="R18" s="23" t="s">
        <v>518</v>
      </c>
      <c r="S18" s="23" t="s">
        <v>44</v>
      </c>
    </row>
    <row r="19" spans="1:19" ht="14.25" customHeight="1" x14ac:dyDescent="0.2">
      <c r="A19" s="4"/>
      <c r="B19" s="8"/>
      <c r="C19" s="7"/>
      <c r="D19" s="407"/>
      <c r="E19" s="7"/>
      <c r="F19" s="8"/>
      <c r="G19" s="10"/>
      <c r="H19" s="18"/>
      <c r="I19" s="19"/>
      <c r="J19" s="19"/>
      <c r="K19" s="25" t="s">
        <v>53</v>
      </c>
      <c r="L19" s="36" t="s">
        <v>47</v>
      </c>
      <c r="M19" s="33" t="s">
        <v>44</v>
      </c>
      <c r="N19" s="33">
        <v>496</v>
      </c>
      <c r="O19" s="33">
        <f t="shared" si="0"/>
        <v>496</v>
      </c>
      <c r="P19" s="34">
        <f t="shared" si="0"/>
        <v>496</v>
      </c>
      <c r="Q19" s="23">
        <v>496</v>
      </c>
      <c r="R19" s="23" t="s">
        <v>518</v>
      </c>
      <c r="S19" s="23" t="s">
        <v>44</v>
      </c>
    </row>
    <row r="20" spans="1:19" ht="14.25" customHeight="1" x14ac:dyDescent="0.2">
      <c r="A20" s="4"/>
      <c r="B20" s="8"/>
      <c r="C20" s="7"/>
      <c r="D20" s="407"/>
      <c r="E20" s="7"/>
      <c r="F20" s="8"/>
      <c r="G20" s="10"/>
      <c r="H20" s="18"/>
      <c r="I20" s="19"/>
      <c r="J20" s="19"/>
      <c r="K20" s="25" t="s">
        <v>57</v>
      </c>
      <c r="L20" s="36" t="s">
        <v>121</v>
      </c>
      <c r="M20" s="33" t="s">
        <v>44</v>
      </c>
      <c r="N20" s="33">
        <v>496</v>
      </c>
      <c r="O20" s="33">
        <f t="shared" si="0"/>
        <v>496</v>
      </c>
      <c r="P20" s="34">
        <f t="shared" si="0"/>
        <v>496</v>
      </c>
      <c r="Q20" s="23">
        <v>496</v>
      </c>
      <c r="R20" s="23" t="s">
        <v>518</v>
      </c>
      <c r="S20" s="23" t="s">
        <v>44</v>
      </c>
    </row>
    <row r="21" spans="1:19" ht="14.25" customHeight="1" x14ac:dyDescent="0.2">
      <c r="A21" s="4"/>
      <c r="B21" s="8"/>
      <c r="C21" s="7"/>
      <c r="D21" s="407"/>
      <c r="E21" s="7"/>
      <c r="F21" s="8"/>
      <c r="G21" s="10"/>
      <c r="H21" s="18"/>
      <c r="I21" s="19"/>
      <c r="J21" s="19"/>
      <c r="K21" s="25" t="s">
        <v>58</v>
      </c>
      <c r="L21" s="36" t="s">
        <v>49</v>
      </c>
      <c r="M21" s="33" t="s">
        <v>44</v>
      </c>
      <c r="N21" s="33">
        <v>528</v>
      </c>
      <c r="O21" s="33">
        <f t="shared" si="0"/>
        <v>528</v>
      </c>
      <c r="P21" s="34">
        <f t="shared" si="0"/>
        <v>528</v>
      </c>
      <c r="Q21" s="23">
        <v>528</v>
      </c>
      <c r="R21" s="23" t="s">
        <v>518</v>
      </c>
      <c r="S21" s="23" t="s">
        <v>44</v>
      </c>
    </row>
    <row r="22" spans="1:19" x14ac:dyDescent="0.2">
      <c r="A22" s="4"/>
      <c r="B22" s="8"/>
      <c r="C22" s="7"/>
      <c r="D22" s="407"/>
      <c r="E22" s="7"/>
      <c r="F22" s="8"/>
      <c r="G22" s="10"/>
      <c r="H22" s="18"/>
      <c r="I22" s="19"/>
      <c r="J22" s="19"/>
      <c r="K22" s="25" t="s">
        <v>65</v>
      </c>
      <c r="L22" s="36" t="s">
        <v>122</v>
      </c>
      <c r="M22" s="33" t="s">
        <v>126</v>
      </c>
      <c r="N22" s="33">
        <v>6</v>
      </c>
      <c r="O22" s="33">
        <v>6</v>
      </c>
      <c r="P22" s="34">
        <f t="shared" si="0"/>
        <v>6</v>
      </c>
      <c r="Q22" s="23">
        <v>16</v>
      </c>
      <c r="R22" s="23" t="s">
        <v>496</v>
      </c>
      <c r="S22" s="23" t="s">
        <v>44</v>
      </c>
    </row>
    <row r="23" spans="1:19" x14ac:dyDescent="0.2">
      <c r="A23" s="4"/>
      <c r="B23" s="8"/>
      <c r="C23" s="7"/>
      <c r="D23" s="407"/>
      <c r="E23" s="7"/>
      <c r="F23" s="8"/>
      <c r="G23" s="10"/>
      <c r="H23" s="18"/>
      <c r="I23" s="19"/>
      <c r="J23" s="19"/>
      <c r="K23" s="25" t="s">
        <v>66</v>
      </c>
      <c r="L23" s="36" t="s">
        <v>123</v>
      </c>
      <c r="M23" s="33" t="s">
        <v>44</v>
      </c>
      <c r="N23" s="33">
        <v>32</v>
      </c>
      <c r="O23" s="33">
        <f t="shared" si="0"/>
        <v>32</v>
      </c>
      <c r="P23" s="34">
        <f t="shared" si="0"/>
        <v>32</v>
      </c>
      <c r="Q23" s="23">
        <v>32</v>
      </c>
      <c r="R23" s="23" t="s">
        <v>518</v>
      </c>
      <c r="S23" s="23" t="s">
        <v>44</v>
      </c>
    </row>
    <row r="24" spans="1:19" x14ac:dyDescent="0.2">
      <c r="A24" s="4"/>
      <c r="B24" s="8"/>
      <c r="C24" s="7"/>
      <c r="D24" s="407"/>
      <c r="E24" s="7"/>
      <c r="F24" s="8"/>
      <c r="G24" s="10"/>
      <c r="H24" s="18"/>
      <c r="I24" s="19"/>
      <c r="J24" s="19"/>
      <c r="K24" s="25" t="s">
        <v>67</v>
      </c>
      <c r="L24" s="36" t="s">
        <v>124</v>
      </c>
      <c r="M24" s="33" t="s">
        <v>55</v>
      </c>
      <c r="N24" s="33">
        <v>4</v>
      </c>
      <c r="O24" s="33">
        <f t="shared" si="0"/>
        <v>4</v>
      </c>
      <c r="P24" s="34">
        <f t="shared" si="0"/>
        <v>4</v>
      </c>
      <c r="Q24" s="23">
        <v>8</v>
      </c>
      <c r="R24" s="23" t="s">
        <v>496</v>
      </c>
      <c r="S24" s="23" t="s">
        <v>44</v>
      </c>
    </row>
    <row r="25" spans="1:19" x14ac:dyDescent="0.2">
      <c r="A25" s="4"/>
      <c r="B25" s="8"/>
      <c r="C25" s="7"/>
      <c r="D25" s="407"/>
      <c r="E25" s="7"/>
      <c r="F25" s="8"/>
      <c r="G25" s="403"/>
      <c r="H25" s="279" t="s">
        <v>263</v>
      </c>
      <c r="I25" s="397">
        <v>1</v>
      </c>
      <c r="J25" s="397">
        <v>1</v>
      </c>
      <c r="K25" s="25" t="s">
        <v>68</v>
      </c>
      <c r="L25" s="36" t="s">
        <v>38</v>
      </c>
      <c r="M25" s="33" t="s">
        <v>54</v>
      </c>
      <c r="N25" s="33">
        <v>32</v>
      </c>
      <c r="O25" s="33">
        <f t="shared" si="0"/>
        <v>32</v>
      </c>
      <c r="P25" s="34">
        <f t="shared" si="0"/>
        <v>32</v>
      </c>
      <c r="Q25" s="23">
        <v>32</v>
      </c>
      <c r="R25" s="23" t="s">
        <v>518</v>
      </c>
      <c r="S25" s="23" t="s">
        <v>44</v>
      </c>
    </row>
    <row r="26" spans="1:19" x14ac:dyDescent="0.2">
      <c r="A26" s="4"/>
      <c r="B26" s="8"/>
      <c r="C26" s="7"/>
      <c r="D26" s="408"/>
      <c r="E26" s="7"/>
      <c r="F26" s="8"/>
      <c r="G26" s="405"/>
      <c r="H26" s="280"/>
      <c r="I26" s="399"/>
      <c r="J26" s="399"/>
      <c r="K26" s="25" t="s">
        <v>69</v>
      </c>
      <c r="L26" s="36" t="s">
        <v>90</v>
      </c>
      <c r="M26" s="33" t="s">
        <v>42</v>
      </c>
      <c r="N26" s="33">
        <v>32</v>
      </c>
      <c r="O26" s="33">
        <f t="shared" si="0"/>
        <v>32</v>
      </c>
      <c r="P26" s="34">
        <f t="shared" si="0"/>
        <v>32</v>
      </c>
      <c r="Q26" s="23">
        <v>32</v>
      </c>
      <c r="R26" s="23" t="s">
        <v>518</v>
      </c>
      <c r="S26" s="23" t="s">
        <v>44</v>
      </c>
    </row>
  </sheetData>
  <mergeCells count="14">
    <mergeCell ref="A6:B6"/>
    <mergeCell ref="D8:D26"/>
    <mergeCell ref="J8:J13"/>
    <mergeCell ref="I8:I13"/>
    <mergeCell ref="H8:H13"/>
    <mergeCell ref="G8:G13"/>
    <mergeCell ref="J16:J17"/>
    <mergeCell ref="G16:G17"/>
    <mergeCell ref="H16:H17"/>
    <mergeCell ref="I16:I17"/>
    <mergeCell ref="J25:J26"/>
    <mergeCell ref="G25:G26"/>
    <mergeCell ref="H25:H26"/>
    <mergeCell ref="I25:I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S45"/>
  <sheetViews>
    <sheetView view="pageLayout" topLeftCell="A4" zoomScale="115" zoomScaleNormal="100" zoomScalePageLayoutView="115" workbookViewId="0">
      <selection activeCell="I39" sqref="I39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7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7" width="5.125" customWidth="1"/>
    <col min="18" max="18" width="3.87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409" t="s">
        <v>111</v>
      </c>
      <c r="E8" s="7"/>
      <c r="F8" s="8"/>
      <c r="G8" s="403"/>
      <c r="H8" s="279" t="s">
        <v>88</v>
      </c>
      <c r="I8" s="397">
        <v>1</v>
      </c>
      <c r="J8" s="397">
        <v>1</v>
      </c>
      <c r="K8" s="25" t="s">
        <v>19</v>
      </c>
      <c r="L8" s="22" t="s">
        <v>87</v>
      </c>
      <c r="M8" s="26" t="s">
        <v>109</v>
      </c>
      <c r="N8" s="24">
        <v>3</v>
      </c>
      <c r="O8" s="24">
        <v>3</v>
      </c>
      <c r="P8" s="23">
        <v>3</v>
      </c>
      <c r="Q8" s="23">
        <v>8.5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410"/>
      <c r="E9" s="7"/>
      <c r="F9" s="8"/>
      <c r="G9" s="404"/>
      <c r="H9" s="400"/>
      <c r="I9" s="398"/>
      <c r="J9" s="398"/>
      <c r="K9" s="25" t="s">
        <v>21</v>
      </c>
      <c r="L9" s="22" t="s">
        <v>88</v>
      </c>
      <c r="M9" s="26" t="s">
        <v>89</v>
      </c>
      <c r="N9" s="24">
        <v>3</v>
      </c>
      <c r="O9" s="24">
        <v>3</v>
      </c>
      <c r="P9" s="23">
        <f>N9*1</f>
        <v>3</v>
      </c>
      <c r="Q9" s="23">
        <v>2.5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410"/>
      <c r="E10" s="8"/>
      <c r="F10" s="8"/>
      <c r="G10" s="404"/>
      <c r="H10" s="400"/>
      <c r="I10" s="398"/>
      <c r="J10" s="398"/>
      <c r="K10" s="25" t="s">
        <v>23</v>
      </c>
      <c r="L10" s="22" t="s">
        <v>38</v>
      </c>
      <c r="M10" s="26" t="s">
        <v>86</v>
      </c>
      <c r="N10" s="24">
        <v>24</v>
      </c>
      <c r="O10" s="24">
        <f>N10*1</f>
        <v>24</v>
      </c>
      <c r="P10" s="23">
        <f>N10*1</f>
        <v>24</v>
      </c>
      <c r="Q10" s="23">
        <v>24</v>
      </c>
      <c r="R10" s="23" t="s">
        <v>518</v>
      </c>
      <c r="S10" s="23" t="s">
        <v>44</v>
      </c>
    </row>
    <row r="11" spans="1:19" ht="14.25" customHeight="1" x14ac:dyDescent="0.2">
      <c r="A11" s="4"/>
      <c r="B11" s="8"/>
      <c r="C11" s="7"/>
      <c r="D11" s="410"/>
      <c r="E11" s="7"/>
      <c r="F11" s="8"/>
      <c r="G11" s="405"/>
      <c r="H11" s="280"/>
      <c r="I11" s="399"/>
      <c r="J11" s="399"/>
      <c r="K11" s="25" t="s">
        <v>26</v>
      </c>
      <c r="L11" s="22" t="s">
        <v>90</v>
      </c>
      <c r="M11" s="26" t="s">
        <v>85</v>
      </c>
      <c r="N11" s="24">
        <v>24</v>
      </c>
      <c r="O11" s="24">
        <f>N11*1</f>
        <v>24</v>
      </c>
      <c r="P11" s="23">
        <f>N11*1</f>
        <v>24</v>
      </c>
      <c r="Q11" s="23">
        <v>24</v>
      </c>
      <c r="R11" s="23" t="s">
        <v>518</v>
      </c>
      <c r="S11" s="23" t="s">
        <v>44</v>
      </c>
    </row>
    <row r="12" spans="1:19" ht="14.25" customHeight="1" x14ac:dyDescent="0.2">
      <c r="A12" s="4"/>
      <c r="B12" s="8"/>
      <c r="C12" s="7"/>
      <c r="D12" s="410"/>
      <c r="E12" s="7"/>
      <c r="F12" s="8"/>
      <c r="G12" s="403"/>
      <c r="H12" s="279" t="s">
        <v>91</v>
      </c>
      <c r="I12" s="397">
        <v>1</v>
      </c>
      <c r="J12" s="397">
        <v>1</v>
      </c>
      <c r="K12" s="25" t="s">
        <v>29</v>
      </c>
      <c r="L12" s="22" t="s">
        <v>92</v>
      </c>
      <c r="M12" s="26" t="s">
        <v>674</v>
      </c>
      <c r="N12" s="24">
        <v>4</v>
      </c>
      <c r="O12" s="24">
        <v>4</v>
      </c>
      <c r="P12" s="23">
        <v>4</v>
      </c>
      <c r="Q12" s="23">
        <v>11.5</v>
      </c>
      <c r="R12" s="23" t="s">
        <v>496</v>
      </c>
      <c r="S12" s="23" t="s">
        <v>44</v>
      </c>
    </row>
    <row r="13" spans="1:19" ht="14.25" customHeight="1" x14ac:dyDescent="0.2">
      <c r="A13" s="4"/>
      <c r="B13" s="8"/>
      <c r="C13" s="7"/>
      <c r="D13" s="410"/>
      <c r="E13" s="7"/>
      <c r="F13" s="8"/>
      <c r="G13" s="405"/>
      <c r="H13" s="280"/>
      <c r="I13" s="399"/>
      <c r="J13" s="399"/>
      <c r="K13" s="25" t="s">
        <v>32</v>
      </c>
      <c r="L13" s="22" t="s">
        <v>93</v>
      </c>
      <c r="M13" s="26" t="s">
        <v>94</v>
      </c>
      <c r="N13" s="24">
        <v>20</v>
      </c>
      <c r="O13" s="24">
        <v>20</v>
      </c>
      <c r="P13" s="23">
        <v>20</v>
      </c>
      <c r="Q13" s="23">
        <v>5</v>
      </c>
      <c r="R13" s="23" t="s">
        <v>496</v>
      </c>
      <c r="S13" s="23" t="s">
        <v>44</v>
      </c>
    </row>
    <row r="14" spans="1:19" ht="14.25" customHeight="1" x14ac:dyDescent="0.2">
      <c r="A14" s="4"/>
      <c r="B14" s="8"/>
      <c r="C14" s="7"/>
      <c r="D14" s="410"/>
      <c r="E14" s="7"/>
      <c r="F14" s="8"/>
      <c r="G14" s="10"/>
      <c r="H14" s="18"/>
      <c r="I14" s="19"/>
      <c r="J14" s="19"/>
      <c r="K14" s="25" t="s">
        <v>35</v>
      </c>
      <c r="L14" s="22" t="s">
        <v>95</v>
      </c>
      <c r="M14" s="26" t="s">
        <v>110</v>
      </c>
      <c r="N14" s="24">
        <v>2</v>
      </c>
      <c r="O14" s="24">
        <f>N14*1</f>
        <v>2</v>
      </c>
      <c r="P14" s="23">
        <f t="shared" ref="P14:P25" si="0">N14*1</f>
        <v>2</v>
      </c>
      <c r="Q14" s="23">
        <v>8</v>
      </c>
      <c r="R14" s="23" t="s">
        <v>496</v>
      </c>
      <c r="S14" s="23" t="s">
        <v>44</v>
      </c>
    </row>
    <row r="15" spans="1:19" ht="14.25" customHeight="1" x14ac:dyDescent="0.2">
      <c r="A15" s="4"/>
      <c r="B15" s="8"/>
      <c r="C15" s="7"/>
      <c r="D15" s="410"/>
      <c r="E15" s="7"/>
      <c r="F15" s="8"/>
      <c r="G15" s="10"/>
      <c r="H15" s="18"/>
      <c r="I15" s="19"/>
      <c r="J15" s="19"/>
      <c r="K15" s="25" t="s">
        <v>37</v>
      </c>
      <c r="L15" s="22" t="s">
        <v>96</v>
      </c>
      <c r="M15" s="24" t="s">
        <v>675</v>
      </c>
      <c r="N15" s="24">
        <v>4</v>
      </c>
      <c r="O15" s="24">
        <v>4</v>
      </c>
      <c r="P15" s="23">
        <f t="shared" si="0"/>
        <v>4</v>
      </c>
      <c r="Q15" s="23">
        <v>13</v>
      </c>
      <c r="R15" s="23" t="s">
        <v>496</v>
      </c>
      <c r="S15" s="23" t="s">
        <v>44</v>
      </c>
    </row>
    <row r="16" spans="1:19" ht="14.25" customHeight="1" x14ac:dyDescent="0.2">
      <c r="A16" s="4"/>
      <c r="B16" s="8"/>
      <c r="C16" s="7"/>
      <c r="D16" s="410"/>
      <c r="E16" s="7"/>
      <c r="F16" s="8"/>
      <c r="G16" s="10"/>
      <c r="H16" s="18"/>
      <c r="I16" s="19"/>
      <c r="J16" s="19"/>
      <c r="K16" s="25" t="s">
        <v>40</v>
      </c>
      <c r="L16" s="22" t="s">
        <v>38</v>
      </c>
      <c r="M16" s="24" t="s">
        <v>97</v>
      </c>
      <c r="N16" s="24">
        <v>35</v>
      </c>
      <c r="O16" s="24">
        <f t="shared" ref="O16:O25" si="1">N16*1</f>
        <v>35</v>
      </c>
      <c r="P16" s="23">
        <f t="shared" si="0"/>
        <v>35</v>
      </c>
      <c r="Q16" s="23">
        <v>35</v>
      </c>
      <c r="R16" s="23" t="s">
        <v>518</v>
      </c>
      <c r="S16" s="23" t="s">
        <v>44</v>
      </c>
    </row>
    <row r="17" spans="1:19" ht="14.25" customHeight="1" x14ac:dyDescent="0.2">
      <c r="A17" s="4"/>
      <c r="B17" s="8"/>
      <c r="C17" s="7"/>
      <c r="D17" s="410"/>
      <c r="E17" s="7"/>
      <c r="F17" s="8"/>
      <c r="G17" s="10"/>
      <c r="H17" s="18"/>
      <c r="I17" s="19"/>
      <c r="J17" s="19"/>
      <c r="K17" s="25" t="s">
        <v>51</v>
      </c>
      <c r="L17" s="22" t="s">
        <v>90</v>
      </c>
      <c r="M17" s="24" t="s">
        <v>42</v>
      </c>
      <c r="N17" s="24">
        <v>35</v>
      </c>
      <c r="O17" s="24">
        <f t="shared" si="1"/>
        <v>35</v>
      </c>
      <c r="P17" s="23">
        <f t="shared" si="0"/>
        <v>35</v>
      </c>
      <c r="Q17" s="23">
        <v>35</v>
      </c>
      <c r="R17" s="23" t="s">
        <v>518</v>
      </c>
      <c r="S17" s="23" t="s">
        <v>44</v>
      </c>
    </row>
    <row r="18" spans="1:19" ht="14.25" customHeight="1" x14ac:dyDescent="0.2">
      <c r="A18" s="4"/>
      <c r="B18" s="8"/>
      <c r="C18" s="7"/>
      <c r="D18" s="410"/>
      <c r="E18" s="7"/>
      <c r="F18" s="8"/>
      <c r="G18" s="10"/>
      <c r="H18" s="18"/>
      <c r="I18" s="19"/>
      <c r="J18" s="19"/>
      <c r="K18" s="25" t="s">
        <v>52</v>
      </c>
      <c r="L18" s="22" t="s">
        <v>98</v>
      </c>
      <c r="M18" s="24" t="s">
        <v>76</v>
      </c>
      <c r="N18" s="24">
        <v>1</v>
      </c>
      <c r="O18" s="24">
        <f t="shared" si="1"/>
        <v>1</v>
      </c>
      <c r="P18" s="23">
        <f t="shared" si="0"/>
        <v>1</v>
      </c>
      <c r="Q18" s="23">
        <v>1</v>
      </c>
      <c r="R18" s="23" t="s">
        <v>518</v>
      </c>
      <c r="S18" s="23" t="s">
        <v>44</v>
      </c>
    </row>
    <row r="19" spans="1:19" ht="14.25" customHeight="1" x14ac:dyDescent="0.2">
      <c r="A19" s="4"/>
      <c r="B19" s="8"/>
      <c r="C19" s="7"/>
      <c r="D19" s="410"/>
      <c r="E19" s="7"/>
      <c r="F19" s="8"/>
      <c r="G19" s="10"/>
      <c r="H19" s="18"/>
      <c r="I19" s="19"/>
      <c r="J19" s="19"/>
      <c r="K19" s="25" t="s">
        <v>53</v>
      </c>
      <c r="L19" s="22" t="s">
        <v>38</v>
      </c>
      <c r="M19" s="23" t="s">
        <v>86</v>
      </c>
      <c r="N19" s="23">
        <v>64</v>
      </c>
      <c r="O19" s="23">
        <f t="shared" si="1"/>
        <v>64</v>
      </c>
      <c r="P19" s="23">
        <f t="shared" si="0"/>
        <v>64</v>
      </c>
      <c r="Q19" s="23">
        <v>64</v>
      </c>
      <c r="R19" s="23" t="s">
        <v>518</v>
      </c>
      <c r="S19" s="23" t="s">
        <v>44</v>
      </c>
    </row>
    <row r="20" spans="1:19" ht="14.25" customHeight="1" x14ac:dyDescent="0.2">
      <c r="A20" s="4"/>
      <c r="B20" s="8"/>
      <c r="C20" s="7"/>
      <c r="D20" s="410"/>
      <c r="E20" s="7"/>
      <c r="F20" s="8"/>
      <c r="G20" s="10"/>
      <c r="H20" s="18"/>
      <c r="I20" s="19"/>
      <c r="J20" s="19"/>
      <c r="K20" s="25" t="s">
        <v>57</v>
      </c>
      <c r="L20" s="22" t="s">
        <v>99</v>
      </c>
      <c r="M20" s="23" t="s">
        <v>85</v>
      </c>
      <c r="N20" s="23">
        <v>64</v>
      </c>
      <c r="O20" s="23">
        <f t="shared" si="1"/>
        <v>64</v>
      </c>
      <c r="P20" s="23">
        <f t="shared" si="0"/>
        <v>64</v>
      </c>
      <c r="Q20" s="23">
        <v>64</v>
      </c>
      <c r="R20" s="23" t="s">
        <v>518</v>
      </c>
      <c r="S20" s="23" t="s">
        <v>44</v>
      </c>
    </row>
    <row r="21" spans="1:19" ht="14.25" customHeight="1" x14ac:dyDescent="0.2">
      <c r="A21" s="4"/>
      <c r="B21" s="8"/>
      <c r="C21" s="7"/>
      <c r="D21" s="410"/>
      <c r="E21" s="7"/>
      <c r="F21" s="8"/>
      <c r="G21" s="10"/>
      <c r="H21" s="18"/>
      <c r="I21" s="19"/>
      <c r="J21" s="19"/>
      <c r="K21" s="25" t="s">
        <v>58</v>
      </c>
      <c r="L21" s="22" t="s">
        <v>38</v>
      </c>
      <c r="M21" s="23" t="s">
        <v>100</v>
      </c>
      <c r="N21" s="23">
        <v>20</v>
      </c>
      <c r="O21" s="23">
        <f t="shared" si="1"/>
        <v>20</v>
      </c>
      <c r="P21" s="23">
        <f t="shared" si="0"/>
        <v>20</v>
      </c>
      <c r="Q21" s="23">
        <v>20</v>
      </c>
      <c r="R21" s="23" t="s">
        <v>518</v>
      </c>
      <c r="S21" s="23" t="s">
        <v>44</v>
      </c>
    </row>
    <row r="22" spans="1:19" x14ac:dyDescent="0.2">
      <c r="A22" s="4"/>
      <c r="B22" s="8"/>
      <c r="C22" s="7"/>
      <c r="D22" s="410"/>
      <c r="E22" s="7"/>
      <c r="F22" s="8"/>
      <c r="G22" s="10"/>
      <c r="H22" s="18"/>
      <c r="I22" s="19"/>
      <c r="J22" s="19"/>
      <c r="K22" s="25" t="s">
        <v>65</v>
      </c>
      <c r="L22" s="22" t="s">
        <v>38</v>
      </c>
      <c r="M22" s="23" t="s">
        <v>97</v>
      </c>
      <c r="N22" s="23">
        <v>35</v>
      </c>
      <c r="O22" s="23">
        <f t="shared" si="1"/>
        <v>35</v>
      </c>
      <c r="P22" s="23">
        <f t="shared" si="0"/>
        <v>35</v>
      </c>
      <c r="Q22" s="23">
        <v>35</v>
      </c>
      <c r="R22" s="23" t="s">
        <v>518</v>
      </c>
      <c r="S22" s="23" t="s">
        <v>44</v>
      </c>
    </row>
    <row r="23" spans="1:19" x14ac:dyDescent="0.2">
      <c r="A23" s="4"/>
      <c r="B23" s="8"/>
      <c r="C23" s="7"/>
      <c r="D23" s="410"/>
      <c r="E23" s="7"/>
      <c r="F23" s="8"/>
      <c r="G23" s="10"/>
      <c r="H23" s="18"/>
      <c r="I23" s="19"/>
      <c r="J23" s="19"/>
      <c r="K23" s="25" t="s">
        <v>66</v>
      </c>
      <c r="L23" s="22" t="s">
        <v>99</v>
      </c>
      <c r="M23" s="23" t="s">
        <v>42</v>
      </c>
      <c r="N23" s="23">
        <v>35</v>
      </c>
      <c r="O23" s="23">
        <f t="shared" si="1"/>
        <v>35</v>
      </c>
      <c r="P23" s="23">
        <f t="shared" si="0"/>
        <v>35</v>
      </c>
      <c r="Q23" s="23">
        <v>35</v>
      </c>
      <c r="R23" s="23" t="s">
        <v>518</v>
      </c>
      <c r="S23" s="23" t="s">
        <v>44</v>
      </c>
    </row>
    <row r="24" spans="1:19" x14ac:dyDescent="0.2">
      <c r="A24" s="4"/>
      <c r="B24" s="8"/>
      <c r="C24" s="7"/>
      <c r="D24" s="410"/>
      <c r="E24" s="7"/>
      <c r="F24" s="8"/>
      <c r="G24" s="10"/>
      <c r="H24" s="18"/>
      <c r="I24" s="19"/>
      <c r="J24" s="19"/>
      <c r="K24" s="25" t="s">
        <v>67</v>
      </c>
      <c r="L24" s="22" t="s">
        <v>101</v>
      </c>
      <c r="M24" s="23" t="s">
        <v>25</v>
      </c>
      <c r="N24" s="23">
        <v>30</v>
      </c>
      <c r="O24" s="23">
        <f t="shared" si="1"/>
        <v>30</v>
      </c>
      <c r="P24" s="23">
        <f t="shared" si="0"/>
        <v>30</v>
      </c>
      <c r="Q24" s="23">
        <v>30</v>
      </c>
      <c r="R24" s="23" t="s">
        <v>518</v>
      </c>
      <c r="S24" s="23" t="s">
        <v>44</v>
      </c>
    </row>
    <row r="25" spans="1:19" x14ac:dyDescent="0.2">
      <c r="A25" s="4"/>
      <c r="B25" s="8"/>
      <c r="C25" s="7"/>
      <c r="D25" s="411"/>
      <c r="E25" s="7"/>
      <c r="F25" s="8"/>
      <c r="G25" s="10"/>
      <c r="H25" s="18"/>
      <c r="I25" s="19"/>
      <c r="J25" s="19"/>
      <c r="K25" s="25" t="s">
        <v>68</v>
      </c>
      <c r="L25" s="22" t="s">
        <v>84</v>
      </c>
      <c r="M25" s="23" t="s">
        <v>102</v>
      </c>
      <c r="N25" s="23">
        <v>30</v>
      </c>
      <c r="O25" s="23">
        <f t="shared" si="1"/>
        <v>30</v>
      </c>
      <c r="P25" s="23">
        <f t="shared" si="0"/>
        <v>30</v>
      </c>
      <c r="Q25" s="23">
        <v>30</v>
      </c>
      <c r="R25" s="23" t="s">
        <v>518</v>
      </c>
      <c r="S25" s="23" t="s">
        <v>44</v>
      </c>
    </row>
    <row r="38" spans="1:19" ht="19.5" x14ac:dyDescent="0.2">
      <c r="A38" s="259" t="s">
        <v>0</v>
      </c>
      <c r="B38" s="260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21"/>
      <c r="R38" s="21"/>
      <c r="S38" s="17" t="s">
        <v>15</v>
      </c>
    </row>
    <row r="39" spans="1:19" ht="45" x14ac:dyDescent="0.2">
      <c r="A39" s="29" t="s">
        <v>2</v>
      </c>
      <c r="B39" s="30" t="s">
        <v>3</v>
      </c>
      <c r="C39" s="30" t="s">
        <v>4</v>
      </c>
      <c r="D39" s="31" t="s">
        <v>5</v>
      </c>
      <c r="E39" s="30" t="s">
        <v>6</v>
      </c>
      <c r="F39" s="30" t="s">
        <v>3</v>
      </c>
      <c r="G39" s="30" t="s">
        <v>10</v>
      </c>
      <c r="H39" s="30" t="s">
        <v>5</v>
      </c>
      <c r="I39" s="30" t="s">
        <v>12</v>
      </c>
      <c r="J39" s="30" t="s">
        <v>11</v>
      </c>
      <c r="K39" s="32" t="s">
        <v>7</v>
      </c>
      <c r="L39" s="31" t="s">
        <v>5</v>
      </c>
      <c r="M39" s="31" t="s">
        <v>9</v>
      </c>
      <c r="N39" s="30" t="s">
        <v>8</v>
      </c>
      <c r="O39" s="30" t="s">
        <v>6</v>
      </c>
      <c r="P39" s="30" t="s">
        <v>3</v>
      </c>
      <c r="Q39" s="30" t="s">
        <v>17</v>
      </c>
      <c r="R39" s="30" t="s">
        <v>18</v>
      </c>
      <c r="S39" s="31" t="s">
        <v>16</v>
      </c>
    </row>
    <row r="40" spans="1:19" x14ac:dyDescent="0.2">
      <c r="A40" s="9"/>
      <c r="B40" s="24">
        <v>1</v>
      </c>
      <c r="C40" s="9"/>
      <c r="D40" s="24" t="s">
        <v>111</v>
      </c>
      <c r="E40" s="7"/>
      <c r="F40" s="8"/>
      <c r="G40" s="10"/>
      <c r="H40" s="18"/>
      <c r="I40" s="19"/>
      <c r="J40" s="19"/>
      <c r="K40" s="25" t="s">
        <v>69</v>
      </c>
      <c r="L40" s="28" t="s">
        <v>103</v>
      </c>
      <c r="M40" s="33" t="s">
        <v>112</v>
      </c>
      <c r="N40" s="33">
        <v>115</v>
      </c>
      <c r="O40" s="33">
        <f t="shared" ref="O40:O45" si="2">N40*1</f>
        <v>115</v>
      </c>
      <c r="P40" s="34">
        <f t="shared" ref="P40:P45" si="3">N40*1</f>
        <v>115</v>
      </c>
      <c r="Q40" s="23">
        <v>115</v>
      </c>
      <c r="R40" s="23" t="s">
        <v>518</v>
      </c>
      <c r="S40" s="23" t="s">
        <v>44</v>
      </c>
    </row>
    <row r="41" spans="1:19" x14ac:dyDescent="0.2">
      <c r="A41" s="4"/>
      <c r="B41" s="8"/>
      <c r="C41" s="7"/>
      <c r="D41" s="7"/>
      <c r="E41" s="7"/>
      <c r="F41" s="8"/>
      <c r="G41" s="10"/>
      <c r="H41" s="18"/>
      <c r="I41" s="19"/>
      <c r="J41" s="19"/>
      <c r="K41" s="25" t="s">
        <v>70</v>
      </c>
      <c r="L41" s="7" t="s">
        <v>104</v>
      </c>
      <c r="M41" s="24" t="s">
        <v>44</v>
      </c>
      <c r="N41" s="33">
        <v>128</v>
      </c>
      <c r="O41" s="24">
        <f t="shared" si="2"/>
        <v>128</v>
      </c>
      <c r="P41" s="23">
        <f t="shared" si="3"/>
        <v>128</v>
      </c>
      <c r="Q41" s="23">
        <v>96</v>
      </c>
      <c r="R41" s="23" t="s">
        <v>518</v>
      </c>
      <c r="S41" s="23" t="s">
        <v>44</v>
      </c>
    </row>
    <row r="42" spans="1:19" x14ac:dyDescent="0.2">
      <c r="A42" s="8"/>
      <c r="B42" s="8"/>
      <c r="C42" s="8"/>
      <c r="D42" s="8"/>
      <c r="E42" s="8"/>
      <c r="F42" s="8"/>
      <c r="G42" s="10"/>
      <c r="H42" s="18"/>
      <c r="I42" s="19"/>
      <c r="J42" s="19"/>
      <c r="K42" s="25" t="s">
        <v>77</v>
      </c>
      <c r="L42" s="7" t="s">
        <v>90</v>
      </c>
      <c r="M42" s="24" t="s">
        <v>105</v>
      </c>
      <c r="N42" s="33">
        <v>128</v>
      </c>
      <c r="O42" s="24">
        <f t="shared" si="2"/>
        <v>128</v>
      </c>
      <c r="P42" s="23">
        <f t="shared" si="3"/>
        <v>128</v>
      </c>
      <c r="Q42" s="23">
        <v>96</v>
      </c>
      <c r="R42" s="23" t="s">
        <v>518</v>
      </c>
      <c r="S42" s="23" t="s">
        <v>44</v>
      </c>
    </row>
    <row r="43" spans="1:19" x14ac:dyDescent="0.2">
      <c r="A43" s="4"/>
      <c r="B43" s="8"/>
      <c r="C43" s="7"/>
      <c r="D43" s="7"/>
      <c r="E43" s="7"/>
      <c r="F43" s="8"/>
      <c r="G43" s="10"/>
      <c r="H43" s="18"/>
      <c r="I43" s="19"/>
      <c r="J43" s="19"/>
      <c r="K43" s="25" t="s">
        <v>78</v>
      </c>
      <c r="L43" s="7" t="s">
        <v>106</v>
      </c>
      <c r="M43" s="24">
        <v>304</v>
      </c>
      <c r="N43" s="33">
        <v>128</v>
      </c>
      <c r="O43" s="24">
        <f t="shared" si="2"/>
        <v>128</v>
      </c>
      <c r="P43" s="23">
        <f t="shared" si="3"/>
        <v>128</v>
      </c>
      <c r="Q43" s="23">
        <v>96</v>
      </c>
      <c r="R43" s="23" t="s">
        <v>518</v>
      </c>
      <c r="S43" s="23" t="s">
        <v>44</v>
      </c>
    </row>
    <row r="44" spans="1:19" x14ac:dyDescent="0.2">
      <c r="A44" s="4"/>
      <c r="B44" s="8"/>
      <c r="C44" s="7"/>
      <c r="D44" s="7"/>
      <c r="E44" s="7"/>
      <c r="F44" s="8"/>
      <c r="G44" s="10"/>
      <c r="H44" s="18"/>
      <c r="I44" s="19"/>
      <c r="J44" s="19"/>
      <c r="K44" s="25" t="s">
        <v>79</v>
      </c>
      <c r="L44" s="7" t="s">
        <v>107</v>
      </c>
      <c r="M44" s="24" t="s">
        <v>44</v>
      </c>
      <c r="N44" s="33">
        <v>1696</v>
      </c>
      <c r="O44" s="24">
        <f t="shared" si="2"/>
        <v>1696</v>
      </c>
      <c r="P44" s="23">
        <f t="shared" si="3"/>
        <v>1696</v>
      </c>
      <c r="Q44" s="23">
        <v>1272</v>
      </c>
      <c r="R44" s="23" t="s">
        <v>518</v>
      </c>
      <c r="S44" s="23" t="s">
        <v>44</v>
      </c>
    </row>
    <row r="45" spans="1:19" x14ac:dyDescent="0.2">
      <c r="A45" s="4"/>
      <c r="B45" s="8"/>
      <c r="C45" s="7"/>
      <c r="D45" s="7"/>
      <c r="E45" s="7"/>
      <c r="F45" s="8"/>
      <c r="G45" s="10"/>
      <c r="H45" s="18"/>
      <c r="I45" s="19"/>
      <c r="J45" s="19"/>
      <c r="K45" s="25" t="s">
        <v>80</v>
      </c>
      <c r="L45" s="7" t="s">
        <v>108</v>
      </c>
      <c r="M45" s="24" t="s">
        <v>44</v>
      </c>
      <c r="N45" s="33">
        <v>144</v>
      </c>
      <c r="O45" s="24">
        <f t="shared" si="2"/>
        <v>144</v>
      </c>
      <c r="P45" s="23">
        <f t="shared" si="3"/>
        <v>144</v>
      </c>
      <c r="Q45" s="23">
        <v>108</v>
      </c>
      <c r="R45" s="23" t="s">
        <v>518</v>
      </c>
      <c r="S45" s="23" t="s">
        <v>44</v>
      </c>
    </row>
  </sheetData>
  <mergeCells count="11">
    <mergeCell ref="A6:B6"/>
    <mergeCell ref="A38:B38"/>
    <mergeCell ref="J8:J11"/>
    <mergeCell ref="I8:I11"/>
    <mergeCell ref="H8:H11"/>
    <mergeCell ref="G8:G11"/>
    <mergeCell ref="J12:J13"/>
    <mergeCell ref="G12:G13"/>
    <mergeCell ref="H12:H13"/>
    <mergeCell ref="I12:I13"/>
    <mergeCell ref="D8:D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S22"/>
  <sheetViews>
    <sheetView view="pageLayout" zoomScaleNormal="100" workbookViewId="0">
      <selection activeCell="G9" sqref="G9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43</v>
      </c>
      <c r="E8" s="7"/>
      <c r="F8" s="8"/>
      <c r="G8" s="10"/>
      <c r="H8" s="18"/>
      <c r="I8" s="19"/>
      <c r="J8" s="19"/>
      <c r="K8" s="25" t="s">
        <v>19</v>
      </c>
      <c r="L8" s="22" t="s">
        <v>20</v>
      </c>
      <c r="M8" s="24" t="s">
        <v>668</v>
      </c>
      <c r="N8" s="24">
        <v>2</v>
      </c>
      <c r="O8" s="24">
        <v>2</v>
      </c>
      <c r="P8" s="23">
        <v>2</v>
      </c>
      <c r="Q8" s="23">
        <v>5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10"/>
      <c r="H9" s="18"/>
      <c r="I9" s="19"/>
      <c r="J9" s="19"/>
      <c r="K9" s="25" t="s">
        <v>21</v>
      </c>
      <c r="L9" s="22" t="s">
        <v>22</v>
      </c>
      <c r="M9" s="24" t="s">
        <v>673</v>
      </c>
      <c r="N9" s="24">
        <v>6</v>
      </c>
      <c r="O9" s="24">
        <v>6</v>
      </c>
      <c r="P9" s="23">
        <v>6</v>
      </c>
      <c r="Q9" s="23">
        <v>15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10"/>
      <c r="H10" s="18"/>
      <c r="I10" s="19"/>
      <c r="J10" s="19"/>
      <c r="K10" s="25" t="s">
        <v>23</v>
      </c>
      <c r="L10" s="22" t="s">
        <v>24</v>
      </c>
      <c r="M10" s="24" t="s">
        <v>25</v>
      </c>
      <c r="N10" s="24">
        <v>30</v>
      </c>
      <c r="O10" s="24">
        <v>30</v>
      </c>
      <c r="P10" s="23">
        <v>30</v>
      </c>
      <c r="Q10" s="23">
        <v>30</v>
      </c>
      <c r="R10" s="23" t="s">
        <v>518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10"/>
      <c r="H11" s="18"/>
      <c r="I11" s="19"/>
      <c r="J11" s="19"/>
      <c r="K11" s="25" t="s">
        <v>26</v>
      </c>
      <c r="L11" s="22" t="s">
        <v>27</v>
      </c>
      <c r="M11" s="24" t="s">
        <v>28</v>
      </c>
      <c r="N11" s="24">
        <v>30</v>
      </c>
      <c r="O11" s="24">
        <v>30</v>
      </c>
      <c r="P11" s="23">
        <v>30</v>
      </c>
      <c r="Q11" s="23">
        <v>30</v>
      </c>
      <c r="R11" s="23" t="s">
        <v>518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10"/>
      <c r="H12" s="18"/>
      <c r="I12" s="19"/>
      <c r="J12" s="19"/>
      <c r="K12" s="25" t="s">
        <v>29</v>
      </c>
      <c r="L12" s="22" t="s">
        <v>30</v>
      </c>
      <c r="M12" s="24" t="s">
        <v>31</v>
      </c>
      <c r="N12" s="24">
        <v>40</v>
      </c>
      <c r="O12" s="24">
        <v>40</v>
      </c>
      <c r="P12" s="23">
        <v>40</v>
      </c>
      <c r="Q12" s="23">
        <v>40</v>
      </c>
      <c r="R12" s="23" t="s">
        <v>518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10"/>
      <c r="H13" s="18"/>
      <c r="I13" s="19"/>
      <c r="J13" s="19"/>
      <c r="K13" s="25" t="s">
        <v>32</v>
      </c>
      <c r="L13" s="22" t="s">
        <v>33</v>
      </c>
      <c r="M13" s="26" t="s">
        <v>34</v>
      </c>
      <c r="N13" s="24">
        <v>40</v>
      </c>
      <c r="O13" s="24">
        <v>40</v>
      </c>
      <c r="P13" s="23">
        <v>40</v>
      </c>
      <c r="Q13" s="23">
        <v>40</v>
      </c>
      <c r="R13" s="23" t="s">
        <v>518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10"/>
      <c r="H14" s="18"/>
      <c r="I14" s="19"/>
      <c r="J14" s="19"/>
      <c r="K14" s="25" t="s">
        <v>35</v>
      </c>
      <c r="L14" s="22" t="s">
        <v>36</v>
      </c>
      <c r="M14" s="26" t="s">
        <v>34</v>
      </c>
      <c r="N14" s="24">
        <v>40</v>
      </c>
      <c r="O14" s="24">
        <v>40</v>
      </c>
      <c r="P14" s="23">
        <v>40</v>
      </c>
      <c r="Q14" s="23">
        <v>40</v>
      </c>
      <c r="R14" s="23" t="s">
        <v>518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10"/>
      <c r="H15" s="18"/>
      <c r="I15" s="19"/>
      <c r="J15" s="19"/>
      <c r="K15" s="25" t="s">
        <v>37</v>
      </c>
      <c r="L15" s="22" t="s">
        <v>38</v>
      </c>
      <c r="M15" s="24" t="s">
        <v>39</v>
      </c>
      <c r="N15" s="24">
        <v>40</v>
      </c>
      <c r="O15" s="24">
        <v>40</v>
      </c>
      <c r="P15" s="23">
        <v>40</v>
      </c>
      <c r="Q15" s="23">
        <v>40</v>
      </c>
      <c r="R15" s="23" t="s">
        <v>518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10"/>
      <c r="H16" s="18"/>
      <c r="I16" s="19"/>
      <c r="J16" s="19"/>
      <c r="K16" s="25" t="s">
        <v>40</v>
      </c>
      <c r="L16" s="22" t="s">
        <v>41</v>
      </c>
      <c r="M16" s="24" t="s">
        <v>42</v>
      </c>
      <c r="N16" s="24">
        <v>40</v>
      </c>
      <c r="O16" s="24">
        <v>40</v>
      </c>
      <c r="P16" s="23">
        <v>40</v>
      </c>
      <c r="Q16" s="23">
        <v>40</v>
      </c>
      <c r="R16" s="23" t="s">
        <v>518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10"/>
      <c r="H17" s="18"/>
      <c r="I17" s="19"/>
      <c r="J17" s="19"/>
      <c r="K17" s="25" t="s">
        <v>51</v>
      </c>
      <c r="L17" s="22" t="s">
        <v>59</v>
      </c>
      <c r="M17" s="24" t="s">
        <v>669</v>
      </c>
      <c r="N17" s="24">
        <v>2</v>
      </c>
      <c r="O17" s="24">
        <v>2</v>
      </c>
      <c r="P17" s="24">
        <v>2</v>
      </c>
      <c r="Q17" s="23">
        <v>1.5</v>
      </c>
      <c r="R17" s="23" t="s">
        <v>496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10"/>
      <c r="H18" s="18"/>
      <c r="I18" s="19"/>
      <c r="J18" s="19"/>
      <c r="K18" s="25" t="s">
        <v>52</v>
      </c>
      <c r="L18" s="22" t="s">
        <v>60</v>
      </c>
      <c r="M18" s="24" t="s">
        <v>670</v>
      </c>
      <c r="N18" s="24">
        <v>2</v>
      </c>
      <c r="O18" s="24">
        <v>2</v>
      </c>
      <c r="P18" s="24">
        <v>2</v>
      </c>
      <c r="Q18" s="23">
        <v>2</v>
      </c>
      <c r="R18" s="23" t="s">
        <v>496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10"/>
      <c r="H19" s="18"/>
      <c r="I19" s="19"/>
      <c r="J19" s="19"/>
      <c r="K19" s="25" t="s">
        <v>53</v>
      </c>
      <c r="L19" s="22" t="s">
        <v>61</v>
      </c>
      <c r="M19" s="24" t="s">
        <v>669</v>
      </c>
      <c r="N19" s="24">
        <v>2</v>
      </c>
      <c r="O19" s="24">
        <v>2</v>
      </c>
      <c r="P19" s="24">
        <v>2</v>
      </c>
      <c r="Q19" s="23">
        <v>1.5</v>
      </c>
      <c r="R19" s="23" t="s">
        <v>496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10"/>
      <c r="H20" s="18"/>
      <c r="I20" s="19"/>
      <c r="J20" s="19"/>
      <c r="K20" s="25" t="s">
        <v>57</v>
      </c>
      <c r="L20" s="22" t="s">
        <v>62</v>
      </c>
      <c r="M20" s="24" t="s">
        <v>670</v>
      </c>
      <c r="N20" s="24">
        <v>2</v>
      </c>
      <c r="O20" s="24">
        <v>2</v>
      </c>
      <c r="P20" s="24">
        <v>2</v>
      </c>
      <c r="Q20" s="23">
        <v>2</v>
      </c>
      <c r="R20" s="23" t="s">
        <v>496</v>
      </c>
      <c r="S20" s="23" t="s">
        <v>44</v>
      </c>
    </row>
    <row r="21" spans="1:19" ht="14.25" customHeight="1" x14ac:dyDescent="0.2">
      <c r="A21" s="4"/>
      <c r="B21" s="8"/>
      <c r="C21" s="7"/>
      <c r="D21" s="7"/>
      <c r="E21" s="7"/>
      <c r="F21" s="8"/>
      <c r="G21" s="10"/>
      <c r="H21" s="18"/>
      <c r="I21" s="19"/>
      <c r="J21" s="19"/>
      <c r="K21" s="25" t="s">
        <v>58</v>
      </c>
      <c r="L21" s="22" t="s">
        <v>63</v>
      </c>
      <c r="M21" s="24" t="s">
        <v>44</v>
      </c>
      <c r="N21" s="24">
        <v>2</v>
      </c>
      <c r="O21" s="24">
        <v>2</v>
      </c>
      <c r="P21" s="24">
        <v>2</v>
      </c>
      <c r="Q21" s="23">
        <v>2</v>
      </c>
      <c r="R21" s="23" t="s">
        <v>518</v>
      </c>
      <c r="S21" s="23" t="s">
        <v>44</v>
      </c>
    </row>
    <row r="22" spans="1:19" x14ac:dyDescent="0.2">
      <c r="I22" s="5"/>
      <c r="J22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28"/>
  <sheetViews>
    <sheetView view="pageLayout" topLeftCell="A103" zoomScale="115" zoomScaleNormal="100" zoomScalePageLayoutView="115" workbookViewId="0">
      <selection activeCell="J110" sqref="J11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8.625" customWidth="1"/>
    <col min="5" max="5" width="5.875" customWidth="1"/>
    <col min="6" max="6" width="5.375" customWidth="1"/>
    <col min="7" max="7" width="5.125" customWidth="1"/>
    <col min="8" max="8" width="7.375" customWidth="1"/>
    <col min="9" max="9" width="5.625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7" width="4.125" customWidth="1"/>
    <col min="18" max="18" width="4" customWidth="1"/>
    <col min="19" max="19" width="5.25" customWidth="1"/>
    <col min="20" max="20" width="8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260" t="s">
        <v>1</v>
      </c>
      <c r="L6" s="458"/>
      <c r="M6" s="458"/>
      <c r="N6" s="458"/>
      <c r="O6" s="458"/>
      <c r="P6" s="458"/>
      <c r="Q6" s="458"/>
      <c r="R6" s="459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20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686</v>
      </c>
      <c r="R7" s="16" t="s">
        <v>18</v>
      </c>
      <c r="S7" s="2" t="s">
        <v>16</v>
      </c>
    </row>
    <row r="8" spans="1:19" ht="14.25" customHeight="1" x14ac:dyDescent="0.2">
      <c r="A8" s="261" t="s">
        <v>373</v>
      </c>
      <c r="B8" s="274">
        <v>1</v>
      </c>
      <c r="C8" s="261" t="s">
        <v>250</v>
      </c>
      <c r="D8" s="345" t="s">
        <v>374</v>
      </c>
      <c r="E8" s="346">
        <v>1</v>
      </c>
      <c r="F8" s="274">
        <f>E8*B8</f>
        <v>1</v>
      </c>
      <c r="G8" s="261" t="s">
        <v>250</v>
      </c>
      <c r="H8" s="261" t="s">
        <v>375</v>
      </c>
      <c r="I8" s="339">
        <v>1</v>
      </c>
      <c r="J8" s="339">
        <f>I8*B8</f>
        <v>1</v>
      </c>
      <c r="K8" s="249" t="s">
        <v>19</v>
      </c>
      <c r="L8" s="183" t="s">
        <v>376</v>
      </c>
      <c r="M8" s="73" t="s">
        <v>377</v>
      </c>
      <c r="N8" s="74">
        <v>1</v>
      </c>
      <c r="O8" s="74">
        <f>N8*E8</f>
        <v>1</v>
      </c>
      <c r="P8" s="74">
        <f>O8*B$8</f>
        <v>1</v>
      </c>
      <c r="Q8" s="90">
        <v>10.96</v>
      </c>
      <c r="R8" s="90" t="s">
        <v>496</v>
      </c>
      <c r="S8" s="75" t="s">
        <v>44</v>
      </c>
    </row>
    <row r="9" spans="1:19" ht="14.25" customHeight="1" x14ac:dyDescent="0.2">
      <c r="A9" s="261"/>
      <c r="B9" s="274"/>
      <c r="C9" s="261"/>
      <c r="D9" s="345"/>
      <c r="E9" s="346"/>
      <c r="F9" s="274"/>
      <c r="G9" s="261"/>
      <c r="H9" s="261"/>
      <c r="I9" s="339"/>
      <c r="J9" s="339"/>
      <c r="K9" s="249" t="s">
        <v>21</v>
      </c>
      <c r="L9" s="183" t="s">
        <v>378</v>
      </c>
      <c r="M9" s="73" t="s">
        <v>379</v>
      </c>
      <c r="N9" s="74">
        <v>2</v>
      </c>
      <c r="O9" s="74">
        <f>N9*E8</f>
        <v>2</v>
      </c>
      <c r="P9" s="74">
        <f t="shared" ref="P9:P19" si="0">O9*B$8</f>
        <v>2</v>
      </c>
      <c r="Q9" s="90">
        <v>2.4</v>
      </c>
      <c r="R9" s="90" t="s">
        <v>496</v>
      </c>
      <c r="S9" s="75" t="s">
        <v>44</v>
      </c>
    </row>
    <row r="10" spans="1:19" ht="14.25" customHeight="1" x14ac:dyDescent="0.2">
      <c r="A10" s="261"/>
      <c r="B10" s="274"/>
      <c r="C10" s="261"/>
      <c r="D10" s="345"/>
      <c r="E10" s="346"/>
      <c r="F10" s="274"/>
      <c r="G10" s="261"/>
      <c r="H10" s="261"/>
      <c r="I10" s="339"/>
      <c r="J10" s="339"/>
      <c r="K10" s="249" t="s">
        <v>23</v>
      </c>
      <c r="L10" s="183" t="s">
        <v>380</v>
      </c>
      <c r="M10" s="73" t="s">
        <v>381</v>
      </c>
      <c r="N10" s="74">
        <v>1</v>
      </c>
      <c r="O10" s="74">
        <f>N10*E8</f>
        <v>1</v>
      </c>
      <c r="P10" s="74">
        <f t="shared" si="0"/>
        <v>1</v>
      </c>
      <c r="Q10" s="90">
        <v>5.5</v>
      </c>
      <c r="R10" s="90" t="s">
        <v>496</v>
      </c>
      <c r="S10" s="75" t="s">
        <v>44</v>
      </c>
    </row>
    <row r="11" spans="1:19" ht="14.25" customHeight="1" x14ac:dyDescent="0.2">
      <c r="A11" s="261"/>
      <c r="B11" s="274"/>
      <c r="C11" s="261"/>
      <c r="D11" s="345"/>
      <c r="E11" s="346"/>
      <c r="F11" s="274"/>
      <c r="G11" s="261"/>
      <c r="H11" s="261"/>
      <c r="I11" s="339"/>
      <c r="J11" s="339"/>
      <c r="K11" s="249" t="s">
        <v>26</v>
      </c>
      <c r="L11" s="183" t="s">
        <v>382</v>
      </c>
      <c r="M11" s="73" t="s">
        <v>383</v>
      </c>
      <c r="N11" s="74">
        <v>1</v>
      </c>
      <c r="O11" s="74">
        <f>N11*E8</f>
        <v>1</v>
      </c>
      <c r="P11" s="74">
        <f t="shared" si="0"/>
        <v>1</v>
      </c>
      <c r="Q11" s="90">
        <v>2</v>
      </c>
      <c r="R11" s="90" t="s">
        <v>496</v>
      </c>
      <c r="S11" s="75" t="s">
        <v>44</v>
      </c>
    </row>
    <row r="12" spans="1:19" ht="14.25" customHeight="1" x14ac:dyDescent="0.2">
      <c r="A12" s="261"/>
      <c r="B12" s="274"/>
      <c r="C12" s="261"/>
      <c r="D12" s="345"/>
      <c r="E12" s="346"/>
      <c r="F12" s="274"/>
      <c r="G12" s="261"/>
      <c r="H12" s="261"/>
      <c r="I12" s="339"/>
      <c r="J12" s="339"/>
      <c r="K12" s="249" t="s">
        <v>29</v>
      </c>
      <c r="L12" s="183" t="s">
        <v>384</v>
      </c>
      <c r="M12" s="73" t="s">
        <v>385</v>
      </c>
      <c r="N12" s="74">
        <v>2</v>
      </c>
      <c r="O12" s="74">
        <f>N12*E8</f>
        <v>2</v>
      </c>
      <c r="P12" s="74">
        <f t="shared" si="0"/>
        <v>2</v>
      </c>
      <c r="Q12" s="90">
        <v>2.4</v>
      </c>
      <c r="R12" s="90" t="s">
        <v>496</v>
      </c>
      <c r="S12" s="75" t="s">
        <v>44</v>
      </c>
    </row>
    <row r="13" spans="1:19" ht="14.25" customHeight="1" x14ac:dyDescent="0.2">
      <c r="A13" s="261"/>
      <c r="B13" s="274"/>
      <c r="C13" s="261"/>
      <c r="D13" s="345"/>
      <c r="E13" s="346"/>
      <c r="F13" s="274"/>
      <c r="G13" s="261"/>
      <c r="H13" s="261"/>
      <c r="I13" s="339"/>
      <c r="J13" s="339"/>
      <c r="K13" s="249" t="s">
        <v>32</v>
      </c>
      <c r="L13" s="183" t="s">
        <v>386</v>
      </c>
      <c r="M13" s="76" t="s">
        <v>385</v>
      </c>
      <c r="N13" s="74">
        <v>1</v>
      </c>
      <c r="O13" s="74">
        <f>N13*E8</f>
        <v>1</v>
      </c>
      <c r="P13" s="74">
        <f t="shared" si="0"/>
        <v>1</v>
      </c>
      <c r="Q13" s="90">
        <v>1.5</v>
      </c>
      <c r="R13" s="90" t="s">
        <v>496</v>
      </c>
      <c r="S13" s="75" t="s">
        <v>44</v>
      </c>
    </row>
    <row r="14" spans="1:19" ht="14.25" customHeight="1" x14ac:dyDescent="0.2">
      <c r="A14" s="261"/>
      <c r="B14" s="274"/>
      <c r="C14" s="261"/>
      <c r="D14" s="345"/>
      <c r="E14" s="346"/>
      <c r="F14" s="274"/>
      <c r="G14" s="261"/>
      <c r="H14" s="261"/>
      <c r="I14" s="339"/>
      <c r="J14" s="339"/>
      <c r="K14" s="249" t="s">
        <v>35</v>
      </c>
      <c r="L14" s="183" t="s">
        <v>387</v>
      </c>
      <c r="M14" s="73" t="s">
        <v>388</v>
      </c>
      <c r="N14" s="74">
        <v>1</v>
      </c>
      <c r="O14" s="74">
        <f>N14*E8</f>
        <v>1</v>
      </c>
      <c r="P14" s="74">
        <f t="shared" si="0"/>
        <v>1</v>
      </c>
      <c r="Q14" s="90">
        <v>3</v>
      </c>
      <c r="R14" s="90" t="s">
        <v>496</v>
      </c>
      <c r="S14" s="75" t="s">
        <v>44</v>
      </c>
    </row>
    <row r="15" spans="1:19" ht="14.25" customHeight="1" x14ac:dyDescent="0.2">
      <c r="A15" s="261"/>
      <c r="B15" s="274"/>
      <c r="C15" s="261"/>
      <c r="D15" s="345"/>
      <c r="E15" s="346"/>
      <c r="F15" s="274"/>
      <c r="G15" s="261"/>
      <c r="H15" s="261"/>
      <c r="I15" s="339"/>
      <c r="J15" s="339"/>
      <c r="K15" s="249" t="s">
        <v>37</v>
      </c>
      <c r="L15" s="183" t="s">
        <v>389</v>
      </c>
      <c r="M15" s="73" t="s">
        <v>390</v>
      </c>
      <c r="N15" s="74">
        <v>1</v>
      </c>
      <c r="O15" s="74">
        <f>N15*E8</f>
        <v>1</v>
      </c>
      <c r="P15" s="74">
        <f t="shared" si="0"/>
        <v>1</v>
      </c>
      <c r="Q15" s="90">
        <v>0.5</v>
      </c>
      <c r="R15" s="90" t="s">
        <v>496</v>
      </c>
      <c r="S15" s="75" t="s">
        <v>44</v>
      </c>
    </row>
    <row r="16" spans="1:19" ht="14.25" customHeight="1" x14ac:dyDescent="0.2">
      <c r="A16" s="261"/>
      <c r="B16" s="274"/>
      <c r="C16" s="261"/>
      <c r="D16" s="345"/>
      <c r="E16" s="346"/>
      <c r="F16" s="274"/>
      <c r="G16" s="261"/>
      <c r="H16" s="261"/>
      <c r="I16" s="339"/>
      <c r="J16" s="339"/>
      <c r="K16" s="249" t="s">
        <v>40</v>
      </c>
      <c r="L16" s="183" t="s">
        <v>391</v>
      </c>
      <c r="M16" s="73" t="s">
        <v>392</v>
      </c>
      <c r="N16" s="74">
        <v>2</v>
      </c>
      <c r="O16" s="74">
        <v>2</v>
      </c>
      <c r="P16" s="74">
        <f t="shared" si="0"/>
        <v>2</v>
      </c>
      <c r="Q16" s="460">
        <v>0.5</v>
      </c>
      <c r="R16" s="90" t="s">
        <v>496</v>
      </c>
      <c r="S16" s="77" t="s">
        <v>44</v>
      </c>
    </row>
    <row r="17" spans="1:19" ht="14.25" customHeight="1" x14ac:dyDescent="0.2">
      <c r="A17" s="261"/>
      <c r="B17" s="274"/>
      <c r="C17" s="261"/>
      <c r="D17" s="345"/>
      <c r="E17" s="346"/>
      <c r="F17" s="274"/>
      <c r="G17" s="261"/>
      <c r="H17" s="261"/>
      <c r="I17" s="339"/>
      <c r="J17" s="339"/>
      <c r="K17" s="249" t="s">
        <v>51</v>
      </c>
      <c r="L17" s="183" t="s">
        <v>393</v>
      </c>
      <c r="M17" s="73" t="s">
        <v>394</v>
      </c>
      <c r="N17" s="74">
        <v>4</v>
      </c>
      <c r="O17" s="74">
        <v>4</v>
      </c>
      <c r="P17" s="74">
        <f t="shared" si="0"/>
        <v>4</v>
      </c>
      <c r="Q17" s="90">
        <v>0.5</v>
      </c>
      <c r="R17" s="90" t="s">
        <v>496</v>
      </c>
      <c r="S17" s="75" t="s">
        <v>44</v>
      </c>
    </row>
    <row r="18" spans="1:19" ht="14.25" customHeight="1" x14ac:dyDescent="0.2">
      <c r="A18" s="261"/>
      <c r="B18" s="274"/>
      <c r="C18" s="261"/>
      <c r="D18" s="345"/>
      <c r="E18" s="346"/>
      <c r="F18" s="274"/>
      <c r="G18" s="261"/>
      <c r="H18" s="261"/>
      <c r="I18" s="339"/>
      <c r="J18" s="339"/>
      <c r="K18" s="249" t="s">
        <v>52</v>
      </c>
      <c r="L18" s="183" t="s">
        <v>395</v>
      </c>
      <c r="M18" s="78" t="s">
        <v>100</v>
      </c>
      <c r="N18" s="74">
        <v>16</v>
      </c>
      <c r="O18" s="74">
        <v>16</v>
      </c>
      <c r="P18" s="74">
        <f t="shared" si="0"/>
        <v>16</v>
      </c>
      <c r="Q18" s="90">
        <v>16</v>
      </c>
      <c r="R18" s="90" t="s">
        <v>518</v>
      </c>
      <c r="S18" s="75" t="s">
        <v>44</v>
      </c>
    </row>
    <row r="19" spans="1:19" ht="14.25" customHeight="1" x14ac:dyDescent="0.2">
      <c r="A19" s="261"/>
      <c r="B19" s="274"/>
      <c r="C19" s="261"/>
      <c r="D19" s="345"/>
      <c r="E19" s="346"/>
      <c r="F19" s="274"/>
      <c r="G19" s="261"/>
      <c r="H19" s="261"/>
      <c r="I19" s="339"/>
      <c r="J19" s="339"/>
      <c r="K19" s="249" t="s">
        <v>53</v>
      </c>
      <c r="L19" s="183" t="s">
        <v>396</v>
      </c>
      <c r="M19" s="78" t="s">
        <v>42</v>
      </c>
      <c r="N19" s="74">
        <v>16</v>
      </c>
      <c r="O19" s="74">
        <v>16</v>
      </c>
      <c r="P19" s="74">
        <f t="shared" si="0"/>
        <v>16</v>
      </c>
      <c r="Q19" s="90">
        <v>16</v>
      </c>
      <c r="R19" s="90" t="s">
        <v>518</v>
      </c>
      <c r="S19" s="75" t="s">
        <v>44</v>
      </c>
    </row>
    <row r="20" spans="1:19" x14ac:dyDescent="0.2">
      <c r="I20" s="5"/>
      <c r="J20" s="5"/>
    </row>
    <row r="39" spans="1:19" ht="5.25" customHeight="1" x14ac:dyDescent="0.2"/>
    <row r="40" spans="1:19" ht="19.5" x14ac:dyDescent="0.2">
      <c r="A40" s="259" t="s">
        <v>0</v>
      </c>
      <c r="B40" s="260"/>
      <c r="C40" s="11"/>
      <c r="D40" s="12"/>
      <c r="E40" s="12" t="s">
        <v>14</v>
      </c>
      <c r="F40" s="13"/>
      <c r="G40" s="12"/>
      <c r="H40" s="12" t="s">
        <v>13</v>
      </c>
      <c r="I40" s="12"/>
      <c r="J40" s="13"/>
      <c r="K40" s="11"/>
      <c r="L40" s="12"/>
      <c r="M40" s="6" t="s">
        <v>1</v>
      </c>
      <c r="N40" s="12"/>
      <c r="O40" s="12"/>
      <c r="P40" s="12"/>
      <c r="Q40" s="21"/>
      <c r="R40" s="21"/>
      <c r="S40" s="17" t="s">
        <v>15</v>
      </c>
    </row>
    <row r="41" spans="1:19" ht="45" x14ac:dyDescent="0.2">
      <c r="A41" s="20" t="s">
        <v>2</v>
      </c>
      <c r="B41" s="3" t="s">
        <v>3</v>
      </c>
      <c r="C41" s="14" t="s">
        <v>4</v>
      </c>
      <c r="D41" s="15" t="s">
        <v>5</v>
      </c>
      <c r="E41" s="14" t="s">
        <v>6</v>
      </c>
      <c r="F41" s="14" t="s">
        <v>3</v>
      </c>
      <c r="G41" s="3" t="s">
        <v>10</v>
      </c>
      <c r="H41" s="3" t="s">
        <v>5</v>
      </c>
      <c r="I41" s="3" t="s">
        <v>12</v>
      </c>
      <c r="J41" s="3" t="s">
        <v>11</v>
      </c>
      <c r="K41" s="1" t="s">
        <v>7</v>
      </c>
      <c r="L41" s="2" t="s">
        <v>5</v>
      </c>
      <c r="M41" s="2" t="s">
        <v>9</v>
      </c>
      <c r="N41" s="3" t="s">
        <v>8</v>
      </c>
      <c r="O41" s="3" t="s">
        <v>6</v>
      </c>
      <c r="P41" s="16" t="s">
        <v>3</v>
      </c>
      <c r="Q41" s="16" t="s">
        <v>686</v>
      </c>
      <c r="R41" s="16" t="s">
        <v>18</v>
      </c>
      <c r="S41" s="2" t="s">
        <v>16</v>
      </c>
    </row>
    <row r="42" spans="1:19" ht="15" customHeight="1" x14ac:dyDescent="0.2">
      <c r="A42" s="261" t="s">
        <v>373</v>
      </c>
      <c r="B42" s="339">
        <v>1</v>
      </c>
      <c r="C42" s="261" t="s">
        <v>250</v>
      </c>
      <c r="D42" s="345" t="s">
        <v>374</v>
      </c>
      <c r="E42" s="346">
        <v>1</v>
      </c>
      <c r="F42" s="274">
        <f>E42*B42</f>
        <v>1</v>
      </c>
      <c r="G42" s="272" t="s">
        <v>255</v>
      </c>
      <c r="H42" s="272" t="s">
        <v>397</v>
      </c>
      <c r="I42" s="328">
        <v>1</v>
      </c>
      <c r="J42" s="328">
        <f>I42*B42</f>
        <v>1</v>
      </c>
      <c r="K42" s="249" t="s">
        <v>57</v>
      </c>
      <c r="L42" s="461" t="s">
        <v>398</v>
      </c>
      <c r="M42" s="73" t="s">
        <v>377</v>
      </c>
      <c r="N42" s="74">
        <v>1</v>
      </c>
      <c r="O42" s="74">
        <f>N42*E42</f>
        <v>1</v>
      </c>
      <c r="P42" s="74">
        <f>O42*B$42</f>
        <v>1</v>
      </c>
      <c r="Q42" s="74">
        <v>9</v>
      </c>
      <c r="R42" s="74" t="s">
        <v>496</v>
      </c>
      <c r="S42" s="52" t="s">
        <v>44</v>
      </c>
    </row>
    <row r="43" spans="1:19" x14ac:dyDescent="0.2">
      <c r="A43" s="261"/>
      <c r="B43" s="339"/>
      <c r="C43" s="261"/>
      <c r="D43" s="345"/>
      <c r="E43" s="346"/>
      <c r="F43" s="274"/>
      <c r="G43" s="263"/>
      <c r="H43" s="263"/>
      <c r="I43" s="329"/>
      <c r="J43" s="329"/>
      <c r="K43" s="249" t="s">
        <v>58</v>
      </c>
      <c r="L43" s="461" t="s">
        <v>399</v>
      </c>
      <c r="M43" s="73" t="s">
        <v>400</v>
      </c>
      <c r="N43" s="74">
        <v>2</v>
      </c>
      <c r="O43" s="74">
        <f>N43*E42</f>
        <v>2</v>
      </c>
      <c r="P43" s="74">
        <f t="shared" ref="P43:P49" si="1">O43*B$42</f>
        <v>2</v>
      </c>
      <c r="Q43" s="74">
        <v>5</v>
      </c>
      <c r="R43" s="74" t="s">
        <v>496</v>
      </c>
      <c r="S43" s="52" t="s">
        <v>44</v>
      </c>
    </row>
    <row r="44" spans="1:19" ht="15" thickBot="1" x14ac:dyDescent="0.25">
      <c r="A44" s="261"/>
      <c r="B44" s="339"/>
      <c r="C44" s="261"/>
      <c r="D44" s="345"/>
      <c r="E44" s="346"/>
      <c r="F44" s="274"/>
      <c r="G44" s="347"/>
      <c r="H44" s="347"/>
      <c r="I44" s="340"/>
      <c r="J44" s="340"/>
      <c r="K44" s="253" t="s">
        <v>65</v>
      </c>
      <c r="L44" s="462" t="s">
        <v>391</v>
      </c>
      <c r="M44" s="79" t="s">
        <v>392</v>
      </c>
      <c r="N44" s="80">
        <v>2</v>
      </c>
      <c r="O44" s="80">
        <v>2</v>
      </c>
      <c r="P44" s="74">
        <f t="shared" si="1"/>
        <v>2</v>
      </c>
      <c r="Q44" s="463">
        <v>0.5</v>
      </c>
      <c r="R44" s="74" t="s">
        <v>496</v>
      </c>
      <c r="S44" s="62" t="s">
        <v>44</v>
      </c>
    </row>
    <row r="45" spans="1:19" x14ac:dyDescent="0.2">
      <c r="A45" s="261"/>
      <c r="B45" s="339"/>
      <c r="C45" s="261"/>
      <c r="D45" s="345"/>
      <c r="E45" s="346"/>
      <c r="F45" s="274"/>
      <c r="G45" s="341" t="s">
        <v>258</v>
      </c>
      <c r="H45" s="341" t="s">
        <v>401</v>
      </c>
      <c r="I45" s="343">
        <v>1</v>
      </c>
      <c r="J45" s="343">
        <f>I45*B42</f>
        <v>1</v>
      </c>
      <c r="K45" s="81" t="s">
        <v>66</v>
      </c>
      <c r="L45" s="464" t="s">
        <v>402</v>
      </c>
      <c r="M45" s="82" t="s">
        <v>265</v>
      </c>
      <c r="N45" s="83">
        <v>12</v>
      </c>
      <c r="O45" s="83">
        <v>12</v>
      </c>
      <c r="P45" s="83">
        <f t="shared" si="1"/>
        <v>12</v>
      </c>
      <c r="Q45" s="83">
        <v>12</v>
      </c>
      <c r="R45" s="83" t="s">
        <v>518</v>
      </c>
      <c r="S45" s="84" t="s">
        <v>44</v>
      </c>
    </row>
    <row r="46" spans="1:19" ht="15" thickBot="1" x14ac:dyDescent="0.25">
      <c r="A46" s="261"/>
      <c r="B46" s="339"/>
      <c r="C46" s="261"/>
      <c r="D46" s="345"/>
      <c r="E46" s="346"/>
      <c r="F46" s="274"/>
      <c r="G46" s="342"/>
      <c r="H46" s="342"/>
      <c r="I46" s="344"/>
      <c r="J46" s="344"/>
      <c r="K46" s="253" t="s">
        <v>67</v>
      </c>
      <c r="L46" s="462" t="s">
        <v>84</v>
      </c>
      <c r="M46" s="86" t="s">
        <v>266</v>
      </c>
      <c r="N46" s="80">
        <v>12</v>
      </c>
      <c r="O46" s="80">
        <f>N46*E42</f>
        <v>12</v>
      </c>
      <c r="P46" s="80">
        <f t="shared" si="1"/>
        <v>12</v>
      </c>
      <c r="Q46" s="80">
        <v>12</v>
      </c>
      <c r="R46" s="80" t="s">
        <v>518</v>
      </c>
      <c r="S46" s="62" t="s">
        <v>44</v>
      </c>
    </row>
    <row r="47" spans="1:19" x14ac:dyDescent="0.2">
      <c r="A47" s="261"/>
      <c r="B47" s="339"/>
      <c r="C47" s="261"/>
      <c r="D47" s="345"/>
      <c r="E47" s="346"/>
      <c r="F47" s="274"/>
      <c r="G47" s="252"/>
      <c r="H47" s="252"/>
      <c r="I47" s="252"/>
      <c r="J47" s="252"/>
      <c r="K47" s="251" t="s">
        <v>68</v>
      </c>
      <c r="L47" s="465" t="s">
        <v>403</v>
      </c>
      <c r="M47" s="88" t="s">
        <v>404</v>
      </c>
      <c r="N47" s="89">
        <v>2</v>
      </c>
      <c r="O47" s="89">
        <v>2</v>
      </c>
      <c r="P47" s="89">
        <f t="shared" si="1"/>
        <v>2</v>
      </c>
      <c r="Q47" s="89">
        <v>2</v>
      </c>
      <c r="R47" s="89" t="s">
        <v>518</v>
      </c>
      <c r="S47" s="64" t="s">
        <v>44</v>
      </c>
    </row>
    <row r="48" spans="1:19" x14ac:dyDescent="0.2">
      <c r="A48" s="261"/>
      <c r="B48" s="339"/>
      <c r="C48" s="261"/>
      <c r="D48" s="345"/>
      <c r="E48" s="346"/>
      <c r="F48" s="274"/>
      <c r="G48" s="249"/>
      <c r="H48" s="249"/>
      <c r="I48" s="249"/>
      <c r="J48" s="249"/>
      <c r="K48" s="249" t="s">
        <v>69</v>
      </c>
      <c r="L48" s="461" t="s">
        <v>405</v>
      </c>
      <c r="M48" s="78" t="s">
        <v>404</v>
      </c>
      <c r="N48" s="90">
        <v>2</v>
      </c>
      <c r="O48" s="74">
        <v>2</v>
      </c>
      <c r="P48" s="74">
        <f t="shared" si="1"/>
        <v>2</v>
      </c>
      <c r="Q48" s="74">
        <v>2</v>
      </c>
      <c r="R48" s="74" t="s">
        <v>518</v>
      </c>
      <c r="S48" s="52" t="s">
        <v>44</v>
      </c>
    </row>
    <row r="49" spans="1:19" x14ac:dyDescent="0.2">
      <c r="A49" s="261"/>
      <c r="B49" s="339"/>
      <c r="C49" s="261"/>
      <c r="D49" s="345"/>
      <c r="E49" s="346"/>
      <c r="F49" s="274"/>
      <c r="G49" s="249"/>
      <c r="H49" s="249"/>
      <c r="I49" s="249"/>
      <c r="J49" s="249"/>
      <c r="K49" s="249" t="s">
        <v>70</v>
      </c>
      <c r="L49" s="461" t="s">
        <v>406</v>
      </c>
      <c r="M49" s="78" t="s">
        <v>44</v>
      </c>
      <c r="N49" s="90">
        <v>6</v>
      </c>
      <c r="O49" s="74">
        <v>6</v>
      </c>
      <c r="P49" s="74">
        <f t="shared" si="1"/>
        <v>6</v>
      </c>
      <c r="Q49" s="74">
        <v>6</v>
      </c>
      <c r="R49" s="74" t="s">
        <v>518</v>
      </c>
      <c r="S49" s="52" t="s">
        <v>44</v>
      </c>
    </row>
    <row r="50" spans="1:19" x14ac:dyDescent="0.2">
      <c r="I50" s="5"/>
      <c r="J50" s="5"/>
    </row>
    <row r="64" spans="1:19" ht="30" customHeight="1" x14ac:dyDescent="0.2"/>
    <row r="69" spans="1:19" ht="13.5" customHeight="1" x14ac:dyDescent="0.2"/>
    <row r="70" spans="1:19" ht="19.5" x14ac:dyDescent="0.2">
      <c r="A70" s="259" t="s">
        <v>0</v>
      </c>
      <c r="B70" s="260"/>
      <c r="C70" s="11"/>
      <c r="D70" s="12"/>
      <c r="E70" s="12" t="s">
        <v>14</v>
      </c>
      <c r="F70" s="13"/>
      <c r="G70" s="12"/>
      <c r="H70" s="12" t="s">
        <v>13</v>
      </c>
      <c r="I70" s="12"/>
      <c r="J70" s="13"/>
      <c r="K70" s="11"/>
      <c r="L70" s="12"/>
      <c r="M70" s="6" t="s">
        <v>1</v>
      </c>
      <c r="N70" s="12"/>
      <c r="O70" s="12"/>
      <c r="P70" s="12"/>
      <c r="Q70" s="21"/>
      <c r="R70" s="21"/>
      <c r="S70" s="17" t="s">
        <v>15</v>
      </c>
    </row>
    <row r="71" spans="1:19" ht="42.75" customHeight="1" x14ac:dyDescent="0.2">
      <c r="A71" s="20" t="s">
        <v>2</v>
      </c>
      <c r="B71" s="3" t="s">
        <v>3</v>
      </c>
      <c r="C71" s="14" t="s">
        <v>4</v>
      </c>
      <c r="D71" s="15" t="s">
        <v>5</v>
      </c>
      <c r="E71" s="14" t="s">
        <v>6</v>
      </c>
      <c r="F71" s="14" t="s">
        <v>3</v>
      </c>
      <c r="G71" s="3" t="s">
        <v>10</v>
      </c>
      <c r="H71" s="3" t="s">
        <v>5</v>
      </c>
      <c r="I71" s="3" t="s">
        <v>12</v>
      </c>
      <c r="J71" s="3" t="s">
        <v>11</v>
      </c>
      <c r="K71" s="1" t="s">
        <v>7</v>
      </c>
      <c r="L71" s="2" t="s">
        <v>5</v>
      </c>
      <c r="M71" s="2" t="s">
        <v>9</v>
      </c>
      <c r="N71" s="3" t="s">
        <v>8</v>
      </c>
      <c r="O71" s="3" t="s">
        <v>6</v>
      </c>
      <c r="P71" s="16" t="s">
        <v>3</v>
      </c>
      <c r="Q71" s="16" t="s">
        <v>686</v>
      </c>
      <c r="R71" s="16" t="s">
        <v>18</v>
      </c>
      <c r="S71" s="2" t="s">
        <v>16</v>
      </c>
    </row>
    <row r="72" spans="1:19" ht="12.95" customHeight="1" x14ac:dyDescent="0.2">
      <c r="A72" s="272" t="s">
        <v>373</v>
      </c>
      <c r="B72" s="328">
        <v>1</v>
      </c>
      <c r="C72" s="331" t="s">
        <v>255</v>
      </c>
      <c r="D72" s="334" t="s">
        <v>407</v>
      </c>
      <c r="E72" s="302" t="s">
        <v>19</v>
      </c>
      <c r="F72" s="295">
        <f>E72*B72</f>
        <v>1</v>
      </c>
      <c r="G72" s="261" t="s">
        <v>250</v>
      </c>
      <c r="H72" s="261" t="s">
        <v>408</v>
      </c>
      <c r="I72" s="339" t="s">
        <v>19</v>
      </c>
      <c r="J72" s="339">
        <f>I72*B72</f>
        <v>1</v>
      </c>
      <c r="K72" s="249" t="s">
        <v>19</v>
      </c>
      <c r="L72" s="466" t="s">
        <v>409</v>
      </c>
      <c r="M72" s="43" t="s">
        <v>410</v>
      </c>
      <c r="N72" s="44">
        <v>1</v>
      </c>
      <c r="O72" s="44">
        <v>1</v>
      </c>
      <c r="P72" s="45">
        <f>O72*B$72</f>
        <v>1</v>
      </c>
      <c r="Q72" s="45">
        <v>3.8</v>
      </c>
      <c r="R72" s="45" t="s">
        <v>496</v>
      </c>
      <c r="S72" s="52" t="s">
        <v>44</v>
      </c>
    </row>
    <row r="73" spans="1:19" ht="12.95" customHeight="1" x14ac:dyDescent="0.2">
      <c r="A73" s="263"/>
      <c r="B73" s="329"/>
      <c r="C73" s="332"/>
      <c r="D73" s="335"/>
      <c r="E73" s="337"/>
      <c r="F73" s="296"/>
      <c r="G73" s="261"/>
      <c r="H73" s="261"/>
      <c r="I73" s="339"/>
      <c r="J73" s="339"/>
      <c r="K73" s="249" t="s">
        <v>21</v>
      </c>
      <c r="L73" s="466" t="s">
        <v>411</v>
      </c>
      <c r="M73" s="43" t="s">
        <v>412</v>
      </c>
      <c r="N73" s="44">
        <v>1</v>
      </c>
      <c r="O73" s="44">
        <v>1</v>
      </c>
      <c r="P73" s="45">
        <f t="shared" ref="P73:P98" si="2">O73*B$72</f>
        <v>1</v>
      </c>
      <c r="Q73" s="45">
        <v>2.8</v>
      </c>
      <c r="R73" s="45" t="s">
        <v>496</v>
      </c>
      <c r="S73" s="52" t="s">
        <v>44</v>
      </c>
    </row>
    <row r="74" spans="1:19" ht="12.95" customHeight="1" x14ac:dyDescent="0.2">
      <c r="A74" s="263"/>
      <c r="B74" s="329"/>
      <c r="C74" s="332"/>
      <c r="D74" s="335"/>
      <c r="E74" s="337"/>
      <c r="F74" s="296"/>
      <c r="G74" s="261"/>
      <c r="H74" s="261"/>
      <c r="I74" s="339"/>
      <c r="J74" s="339"/>
      <c r="K74" s="249" t="s">
        <v>23</v>
      </c>
      <c r="L74" s="466" t="s">
        <v>413</v>
      </c>
      <c r="M74" s="43" t="s">
        <v>414</v>
      </c>
      <c r="N74" s="44">
        <v>2</v>
      </c>
      <c r="O74" s="44">
        <v>2</v>
      </c>
      <c r="P74" s="45">
        <f t="shared" si="2"/>
        <v>2</v>
      </c>
      <c r="Q74" s="45">
        <v>1.6</v>
      </c>
      <c r="R74" s="45" t="s">
        <v>496</v>
      </c>
      <c r="S74" s="52" t="s">
        <v>44</v>
      </c>
    </row>
    <row r="75" spans="1:19" ht="12.95" customHeight="1" x14ac:dyDescent="0.2">
      <c r="A75" s="263"/>
      <c r="B75" s="329"/>
      <c r="C75" s="332"/>
      <c r="D75" s="335"/>
      <c r="E75" s="337"/>
      <c r="F75" s="296"/>
      <c r="G75" s="261"/>
      <c r="H75" s="261"/>
      <c r="I75" s="339"/>
      <c r="J75" s="339"/>
      <c r="K75" s="249" t="s">
        <v>26</v>
      </c>
      <c r="L75" s="466" t="s">
        <v>415</v>
      </c>
      <c r="M75" s="43" t="s">
        <v>416</v>
      </c>
      <c r="N75" s="44">
        <v>4</v>
      </c>
      <c r="O75" s="44">
        <v>4</v>
      </c>
      <c r="P75" s="45">
        <f t="shared" si="2"/>
        <v>4</v>
      </c>
      <c r="Q75" s="45">
        <v>2.4</v>
      </c>
      <c r="R75" s="45" t="s">
        <v>496</v>
      </c>
      <c r="S75" s="52" t="s">
        <v>44</v>
      </c>
    </row>
    <row r="76" spans="1:19" ht="12.95" customHeight="1" x14ac:dyDescent="0.2">
      <c r="A76" s="263"/>
      <c r="B76" s="329"/>
      <c r="C76" s="332"/>
      <c r="D76" s="335"/>
      <c r="E76" s="337"/>
      <c r="F76" s="296"/>
      <c r="G76" s="261"/>
      <c r="H76" s="261"/>
      <c r="I76" s="339"/>
      <c r="J76" s="339"/>
      <c r="K76" s="249" t="s">
        <v>29</v>
      </c>
      <c r="L76" s="466" t="s">
        <v>417</v>
      </c>
      <c r="M76" s="43" t="s">
        <v>418</v>
      </c>
      <c r="N76" s="44">
        <v>1</v>
      </c>
      <c r="O76" s="44">
        <v>1</v>
      </c>
      <c r="P76" s="45">
        <f t="shared" si="2"/>
        <v>1</v>
      </c>
      <c r="Q76" s="45">
        <v>9.5</v>
      </c>
      <c r="R76" s="45" t="s">
        <v>496</v>
      </c>
      <c r="S76" s="52" t="s">
        <v>44</v>
      </c>
    </row>
    <row r="77" spans="1:19" ht="12.95" customHeight="1" x14ac:dyDescent="0.2">
      <c r="A77" s="263"/>
      <c r="B77" s="329"/>
      <c r="C77" s="332"/>
      <c r="D77" s="335"/>
      <c r="E77" s="337"/>
      <c r="F77" s="296"/>
      <c r="G77" s="261"/>
      <c r="H77" s="261"/>
      <c r="I77" s="339"/>
      <c r="J77" s="339"/>
      <c r="K77" s="249" t="s">
        <v>32</v>
      </c>
      <c r="L77" s="466" t="s">
        <v>419</v>
      </c>
      <c r="M77" s="50" t="s">
        <v>420</v>
      </c>
      <c r="N77" s="44">
        <v>1</v>
      </c>
      <c r="O77" s="44">
        <v>1</v>
      </c>
      <c r="P77" s="45">
        <f t="shared" si="2"/>
        <v>1</v>
      </c>
      <c r="Q77" s="45">
        <v>1</v>
      </c>
      <c r="R77" s="45" t="s">
        <v>518</v>
      </c>
      <c r="S77" s="52" t="s">
        <v>44</v>
      </c>
    </row>
    <row r="78" spans="1:19" ht="12.95" customHeight="1" x14ac:dyDescent="0.2">
      <c r="A78" s="263"/>
      <c r="B78" s="329"/>
      <c r="C78" s="332"/>
      <c r="D78" s="335"/>
      <c r="E78" s="337"/>
      <c r="F78" s="296"/>
      <c r="G78" s="261"/>
      <c r="H78" s="261"/>
      <c r="I78" s="339"/>
      <c r="J78" s="339"/>
      <c r="K78" s="249" t="s">
        <v>35</v>
      </c>
      <c r="L78" s="466" t="s">
        <v>421</v>
      </c>
      <c r="M78" s="43" t="s">
        <v>100</v>
      </c>
      <c r="N78" s="44">
        <v>17</v>
      </c>
      <c r="O78" s="44">
        <v>17</v>
      </c>
      <c r="P78" s="45">
        <f t="shared" si="2"/>
        <v>17</v>
      </c>
      <c r="Q78" s="45">
        <v>17</v>
      </c>
      <c r="R78" s="45" t="s">
        <v>518</v>
      </c>
      <c r="S78" s="52" t="s">
        <v>44</v>
      </c>
    </row>
    <row r="79" spans="1:19" ht="12.95" customHeight="1" x14ac:dyDescent="0.2">
      <c r="A79" s="263"/>
      <c r="B79" s="329"/>
      <c r="C79" s="332"/>
      <c r="D79" s="335"/>
      <c r="E79" s="337"/>
      <c r="F79" s="296"/>
      <c r="G79" s="261"/>
      <c r="H79" s="261"/>
      <c r="I79" s="339"/>
      <c r="J79" s="339"/>
      <c r="K79" s="249" t="s">
        <v>37</v>
      </c>
      <c r="L79" s="466" t="s">
        <v>422</v>
      </c>
      <c r="M79" s="43" t="s">
        <v>305</v>
      </c>
      <c r="N79" s="44">
        <v>3</v>
      </c>
      <c r="O79" s="44">
        <v>3</v>
      </c>
      <c r="P79" s="45">
        <f t="shared" si="2"/>
        <v>3</v>
      </c>
      <c r="Q79" s="45">
        <v>3</v>
      </c>
      <c r="R79" s="45" t="s">
        <v>518</v>
      </c>
      <c r="S79" s="52" t="s">
        <v>44</v>
      </c>
    </row>
    <row r="80" spans="1:19" ht="12.95" customHeight="1" x14ac:dyDescent="0.2">
      <c r="A80" s="263"/>
      <c r="B80" s="329"/>
      <c r="C80" s="332"/>
      <c r="D80" s="335"/>
      <c r="E80" s="337"/>
      <c r="F80" s="296"/>
      <c r="G80" s="261"/>
      <c r="H80" s="261"/>
      <c r="I80" s="339"/>
      <c r="J80" s="339"/>
      <c r="K80" s="249" t="s">
        <v>40</v>
      </c>
      <c r="L80" s="466" t="s">
        <v>423</v>
      </c>
      <c r="M80" s="43" t="s">
        <v>424</v>
      </c>
      <c r="N80" s="44">
        <v>3</v>
      </c>
      <c r="O80" s="44">
        <v>3</v>
      </c>
      <c r="P80" s="45">
        <f t="shared" si="2"/>
        <v>3</v>
      </c>
      <c r="Q80" s="45">
        <v>3</v>
      </c>
      <c r="R80" s="45" t="s">
        <v>518</v>
      </c>
      <c r="S80" s="52" t="s">
        <v>44</v>
      </c>
    </row>
    <row r="81" spans="1:19" ht="12.95" customHeight="1" x14ac:dyDescent="0.2">
      <c r="A81" s="263"/>
      <c r="B81" s="329"/>
      <c r="C81" s="332"/>
      <c r="D81" s="335"/>
      <c r="E81" s="337"/>
      <c r="F81" s="296"/>
      <c r="G81" s="261"/>
      <c r="H81" s="261"/>
      <c r="I81" s="339"/>
      <c r="J81" s="339"/>
      <c r="K81" s="249" t="s">
        <v>51</v>
      </c>
      <c r="L81" s="466" t="s">
        <v>425</v>
      </c>
      <c r="M81" s="43" t="s">
        <v>42</v>
      </c>
      <c r="N81" s="44">
        <v>17</v>
      </c>
      <c r="O81" s="44">
        <v>17</v>
      </c>
      <c r="P81" s="45">
        <f t="shared" si="2"/>
        <v>17</v>
      </c>
      <c r="Q81" s="45">
        <v>17</v>
      </c>
      <c r="R81" s="45" t="s">
        <v>518</v>
      </c>
      <c r="S81" s="52" t="s">
        <v>44</v>
      </c>
    </row>
    <row r="82" spans="1:19" ht="12.95" customHeight="1" x14ac:dyDescent="0.2">
      <c r="A82" s="263"/>
      <c r="B82" s="329"/>
      <c r="C82" s="332"/>
      <c r="D82" s="335"/>
      <c r="E82" s="337"/>
      <c r="F82" s="296"/>
      <c r="G82" s="261"/>
      <c r="H82" s="261"/>
      <c r="I82" s="339"/>
      <c r="J82" s="339"/>
      <c r="K82" s="249" t="s">
        <v>52</v>
      </c>
      <c r="L82" s="466" t="s">
        <v>426</v>
      </c>
      <c r="M82" s="43" t="s">
        <v>355</v>
      </c>
      <c r="N82" s="44">
        <v>17</v>
      </c>
      <c r="O82" s="44">
        <v>17</v>
      </c>
      <c r="P82" s="45">
        <f t="shared" si="2"/>
        <v>17</v>
      </c>
      <c r="Q82" s="45">
        <v>17</v>
      </c>
      <c r="R82" s="45" t="s">
        <v>518</v>
      </c>
      <c r="S82" s="52" t="s">
        <v>44</v>
      </c>
    </row>
    <row r="83" spans="1:19" ht="12.95" customHeight="1" x14ac:dyDescent="0.2">
      <c r="A83" s="263"/>
      <c r="B83" s="329"/>
      <c r="C83" s="332"/>
      <c r="D83" s="335"/>
      <c r="E83" s="337"/>
      <c r="F83" s="296"/>
      <c r="G83" s="261"/>
      <c r="H83" s="261"/>
      <c r="I83" s="339"/>
      <c r="J83" s="339"/>
      <c r="K83" s="249" t="s">
        <v>53</v>
      </c>
      <c r="L83" s="466" t="s">
        <v>427</v>
      </c>
      <c r="M83" s="43" t="s">
        <v>85</v>
      </c>
      <c r="N83" s="44">
        <v>3</v>
      </c>
      <c r="O83" s="44">
        <v>3</v>
      </c>
      <c r="P83" s="45">
        <f t="shared" si="2"/>
        <v>3</v>
      </c>
      <c r="Q83" s="45">
        <v>3</v>
      </c>
      <c r="R83" s="45" t="s">
        <v>518</v>
      </c>
      <c r="S83" s="52" t="s">
        <v>44</v>
      </c>
    </row>
    <row r="84" spans="1:19" ht="12.95" customHeight="1" x14ac:dyDescent="0.2">
      <c r="A84" s="263"/>
      <c r="B84" s="329"/>
      <c r="C84" s="332"/>
      <c r="D84" s="335"/>
      <c r="E84" s="337"/>
      <c r="F84" s="296"/>
      <c r="G84" s="261"/>
      <c r="H84" s="261"/>
      <c r="I84" s="339"/>
      <c r="J84" s="339"/>
      <c r="K84" s="249" t="s">
        <v>57</v>
      </c>
      <c r="L84" s="466" t="s">
        <v>428</v>
      </c>
      <c r="M84" s="43" t="s">
        <v>429</v>
      </c>
      <c r="N84" s="44">
        <v>15</v>
      </c>
      <c r="O84" s="44">
        <v>15</v>
      </c>
      <c r="P84" s="45">
        <f t="shared" si="2"/>
        <v>15</v>
      </c>
      <c r="Q84" s="45">
        <v>15</v>
      </c>
      <c r="R84" s="45" t="s">
        <v>518</v>
      </c>
      <c r="S84" s="52" t="s">
        <v>44</v>
      </c>
    </row>
    <row r="85" spans="1:19" ht="12.95" customHeight="1" x14ac:dyDescent="0.2">
      <c r="A85" s="263"/>
      <c r="B85" s="329"/>
      <c r="C85" s="332"/>
      <c r="D85" s="335"/>
      <c r="E85" s="337"/>
      <c r="F85" s="296"/>
      <c r="G85" s="261"/>
      <c r="H85" s="261"/>
      <c r="I85" s="339"/>
      <c r="J85" s="339"/>
      <c r="K85" s="249" t="s">
        <v>58</v>
      </c>
      <c r="L85" s="466" t="s">
        <v>430</v>
      </c>
      <c r="M85" s="43" t="s">
        <v>431</v>
      </c>
      <c r="N85" s="44">
        <v>1</v>
      </c>
      <c r="O85" s="44">
        <v>1</v>
      </c>
      <c r="P85" s="45">
        <f t="shared" si="2"/>
        <v>1</v>
      </c>
      <c r="Q85" s="45">
        <v>1.5</v>
      </c>
      <c r="R85" s="45" t="s">
        <v>496</v>
      </c>
      <c r="S85" s="52" t="s">
        <v>44</v>
      </c>
    </row>
    <row r="86" spans="1:19" ht="12.95" customHeight="1" x14ac:dyDescent="0.2">
      <c r="A86" s="263"/>
      <c r="B86" s="329"/>
      <c r="C86" s="332"/>
      <c r="D86" s="335"/>
      <c r="E86" s="337"/>
      <c r="F86" s="296"/>
      <c r="G86" s="261"/>
      <c r="H86" s="261"/>
      <c r="I86" s="339"/>
      <c r="J86" s="339"/>
      <c r="K86" s="249" t="s">
        <v>65</v>
      </c>
      <c r="L86" s="466" t="s">
        <v>432</v>
      </c>
      <c r="M86" s="50" t="s">
        <v>433</v>
      </c>
      <c r="N86" s="44">
        <v>1</v>
      </c>
      <c r="O86" s="44">
        <v>1</v>
      </c>
      <c r="P86" s="45">
        <f t="shared" si="2"/>
        <v>1</v>
      </c>
      <c r="Q86" s="45">
        <v>1</v>
      </c>
      <c r="R86" s="45" t="s">
        <v>518</v>
      </c>
      <c r="S86" s="52" t="s">
        <v>44</v>
      </c>
    </row>
    <row r="87" spans="1:19" ht="12.95" customHeight="1" x14ac:dyDescent="0.2">
      <c r="A87" s="263"/>
      <c r="B87" s="329"/>
      <c r="C87" s="332"/>
      <c r="D87" s="335"/>
      <c r="E87" s="337"/>
      <c r="F87" s="296"/>
      <c r="G87" s="261"/>
      <c r="H87" s="261"/>
      <c r="I87" s="339"/>
      <c r="J87" s="339"/>
      <c r="K87" s="249" t="s">
        <v>66</v>
      </c>
      <c r="L87" s="466" t="s">
        <v>434</v>
      </c>
      <c r="M87" s="43" t="s">
        <v>435</v>
      </c>
      <c r="N87" s="44">
        <v>4</v>
      </c>
      <c r="O87" s="44">
        <v>4</v>
      </c>
      <c r="P87" s="45">
        <f t="shared" si="2"/>
        <v>4</v>
      </c>
      <c r="Q87" s="45">
        <v>4</v>
      </c>
      <c r="R87" s="45" t="s">
        <v>518</v>
      </c>
      <c r="S87" s="52" t="s">
        <v>44</v>
      </c>
    </row>
    <row r="88" spans="1:19" ht="12.95" customHeight="1" x14ac:dyDescent="0.2">
      <c r="A88" s="263"/>
      <c r="B88" s="329"/>
      <c r="C88" s="332"/>
      <c r="D88" s="335"/>
      <c r="E88" s="337"/>
      <c r="F88" s="296"/>
      <c r="G88" s="261"/>
      <c r="H88" s="261"/>
      <c r="I88" s="339"/>
      <c r="J88" s="339"/>
      <c r="K88" s="249" t="s">
        <v>67</v>
      </c>
      <c r="L88" s="466" t="s">
        <v>436</v>
      </c>
      <c r="M88" s="43" t="s">
        <v>75</v>
      </c>
      <c r="N88" s="44">
        <v>4</v>
      </c>
      <c r="O88" s="44">
        <v>4</v>
      </c>
      <c r="P88" s="45">
        <f t="shared" si="2"/>
        <v>4</v>
      </c>
      <c r="Q88" s="45">
        <v>4</v>
      </c>
      <c r="R88" s="45" t="s">
        <v>518</v>
      </c>
      <c r="S88" s="52" t="s">
        <v>44</v>
      </c>
    </row>
    <row r="89" spans="1:19" ht="12.95" customHeight="1" x14ac:dyDescent="0.2">
      <c r="A89" s="263"/>
      <c r="B89" s="329"/>
      <c r="C89" s="332"/>
      <c r="D89" s="335"/>
      <c r="E89" s="337"/>
      <c r="F89" s="296"/>
      <c r="G89" s="261"/>
      <c r="H89" s="261"/>
      <c r="I89" s="339"/>
      <c r="J89" s="339"/>
      <c r="K89" s="249" t="s">
        <v>68</v>
      </c>
      <c r="L89" s="466" t="s">
        <v>437</v>
      </c>
      <c r="M89" s="43" t="s">
        <v>438</v>
      </c>
      <c r="N89" s="44">
        <v>1</v>
      </c>
      <c r="O89" s="44">
        <v>1</v>
      </c>
      <c r="P89" s="45">
        <f t="shared" si="2"/>
        <v>1</v>
      </c>
      <c r="Q89" s="45">
        <v>1</v>
      </c>
      <c r="R89" s="45" t="s">
        <v>518</v>
      </c>
      <c r="S89" s="52" t="s">
        <v>44</v>
      </c>
    </row>
    <row r="90" spans="1:19" ht="12.95" customHeight="1" x14ac:dyDescent="0.2">
      <c r="A90" s="263"/>
      <c r="B90" s="329"/>
      <c r="C90" s="332"/>
      <c r="D90" s="335"/>
      <c r="E90" s="337"/>
      <c r="F90" s="296"/>
      <c r="G90" s="272"/>
      <c r="H90" s="272"/>
      <c r="I90" s="328"/>
      <c r="J90" s="328"/>
      <c r="K90" s="250" t="s">
        <v>69</v>
      </c>
      <c r="L90" s="467" t="s">
        <v>439</v>
      </c>
      <c r="M90" s="43" t="s">
        <v>424</v>
      </c>
      <c r="N90" s="91">
        <v>1</v>
      </c>
      <c r="O90" s="91">
        <v>1</v>
      </c>
      <c r="P90" s="45">
        <f t="shared" si="2"/>
        <v>1</v>
      </c>
      <c r="Q90" s="468">
        <v>1</v>
      </c>
      <c r="R90" s="45" t="s">
        <v>518</v>
      </c>
      <c r="S90" s="92" t="s">
        <v>44</v>
      </c>
    </row>
    <row r="91" spans="1:19" ht="12.95" customHeight="1" thickBot="1" x14ac:dyDescent="0.25">
      <c r="A91" s="263"/>
      <c r="B91" s="329"/>
      <c r="C91" s="332"/>
      <c r="D91" s="335"/>
      <c r="E91" s="337"/>
      <c r="F91" s="296"/>
      <c r="G91" s="267"/>
      <c r="H91" s="267"/>
      <c r="I91" s="326"/>
      <c r="J91" s="326"/>
      <c r="K91" s="253" t="s">
        <v>70</v>
      </c>
      <c r="L91" s="469" t="s">
        <v>440</v>
      </c>
      <c r="M91" s="93" t="s">
        <v>441</v>
      </c>
      <c r="N91" s="94">
        <v>1</v>
      </c>
      <c r="O91" s="94">
        <v>1</v>
      </c>
      <c r="P91" s="95">
        <f t="shared" si="2"/>
        <v>1</v>
      </c>
      <c r="Q91" s="95">
        <v>1</v>
      </c>
      <c r="R91" s="95" t="s">
        <v>518</v>
      </c>
      <c r="S91" s="470" t="s">
        <v>44</v>
      </c>
    </row>
    <row r="92" spans="1:19" ht="12.95" customHeight="1" x14ac:dyDescent="0.2">
      <c r="A92" s="263"/>
      <c r="B92" s="329"/>
      <c r="C92" s="332"/>
      <c r="D92" s="335"/>
      <c r="E92" s="337"/>
      <c r="F92" s="296"/>
      <c r="G92" s="310" t="s">
        <v>255</v>
      </c>
      <c r="H92" s="317" t="s">
        <v>442</v>
      </c>
      <c r="I92" s="310">
        <v>1</v>
      </c>
      <c r="J92" s="325">
        <f>B72</f>
        <v>1</v>
      </c>
      <c r="K92" s="81" t="s">
        <v>77</v>
      </c>
      <c r="L92" s="471" t="s">
        <v>443</v>
      </c>
      <c r="M92" s="97" t="s">
        <v>444</v>
      </c>
      <c r="N92" s="98">
        <v>1</v>
      </c>
      <c r="O92" s="98">
        <v>1</v>
      </c>
      <c r="P92" s="45">
        <f t="shared" si="2"/>
        <v>1</v>
      </c>
      <c r="Q92" s="472">
        <v>0.4</v>
      </c>
      <c r="R92" s="472" t="s">
        <v>496</v>
      </c>
      <c r="S92" s="473" t="s">
        <v>44</v>
      </c>
    </row>
    <row r="93" spans="1:19" ht="12.95" customHeight="1" thickBot="1" x14ac:dyDescent="0.25">
      <c r="A93" s="263"/>
      <c r="B93" s="329"/>
      <c r="C93" s="332"/>
      <c r="D93" s="335"/>
      <c r="E93" s="337"/>
      <c r="F93" s="296"/>
      <c r="G93" s="267"/>
      <c r="H93" s="318"/>
      <c r="I93" s="267"/>
      <c r="J93" s="326"/>
      <c r="K93" s="253" t="s">
        <v>78</v>
      </c>
      <c r="L93" s="469" t="s">
        <v>445</v>
      </c>
      <c r="M93" s="99" t="s">
        <v>446</v>
      </c>
      <c r="N93" s="94">
        <v>1</v>
      </c>
      <c r="O93" s="94">
        <v>1</v>
      </c>
      <c r="P93" s="94">
        <f t="shared" si="2"/>
        <v>1</v>
      </c>
      <c r="Q93" s="94">
        <v>0.2</v>
      </c>
      <c r="R93" s="94" t="s">
        <v>496</v>
      </c>
      <c r="S93" s="470" t="s">
        <v>44</v>
      </c>
    </row>
    <row r="94" spans="1:19" ht="12.95" customHeight="1" thickBot="1" x14ac:dyDescent="0.25">
      <c r="A94" s="263"/>
      <c r="B94" s="329"/>
      <c r="C94" s="332"/>
      <c r="D94" s="335"/>
      <c r="E94" s="337"/>
      <c r="F94" s="296"/>
      <c r="G94" s="100" t="s">
        <v>44</v>
      </c>
      <c r="H94" s="100" t="s">
        <v>44</v>
      </c>
      <c r="I94" s="100" t="s">
        <v>44</v>
      </c>
      <c r="J94" s="100" t="s">
        <v>44</v>
      </c>
      <c r="K94" s="101" t="s">
        <v>79</v>
      </c>
      <c r="L94" s="474" t="s">
        <v>447</v>
      </c>
      <c r="M94" s="102" t="s">
        <v>448</v>
      </c>
      <c r="N94" s="103">
        <v>1</v>
      </c>
      <c r="O94" s="103">
        <v>1</v>
      </c>
      <c r="P94" s="94">
        <f t="shared" si="2"/>
        <v>1</v>
      </c>
      <c r="Q94" s="475">
        <v>1</v>
      </c>
      <c r="R94" s="475" t="s">
        <v>518</v>
      </c>
      <c r="S94" s="476" t="s">
        <v>44</v>
      </c>
    </row>
    <row r="95" spans="1:19" ht="12.95" customHeight="1" x14ac:dyDescent="0.2">
      <c r="A95" s="263"/>
      <c r="B95" s="329"/>
      <c r="C95" s="332"/>
      <c r="D95" s="335"/>
      <c r="E95" s="337"/>
      <c r="F95" s="296"/>
      <c r="G95" s="327" t="s">
        <v>258</v>
      </c>
      <c r="H95" s="327" t="s">
        <v>300</v>
      </c>
      <c r="I95" s="327">
        <v>1</v>
      </c>
      <c r="J95" s="338">
        <f>B72</f>
        <v>1</v>
      </c>
      <c r="K95" s="81" t="s">
        <v>80</v>
      </c>
      <c r="L95" s="471" t="s">
        <v>449</v>
      </c>
      <c r="M95" s="43" t="s">
        <v>450</v>
      </c>
      <c r="N95" s="98">
        <v>7</v>
      </c>
      <c r="O95" s="98">
        <v>7</v>
      </c>
      <c r="P95" s="45">
        <f t="shared" si="2"/>
        <v>7</v>
      </c>
      <c r="Q95" s="472">
        <v>7</v>
      </c>
      <c r="R95" s="472" t="s">
        <v>518</v>
      </c>
      <c r="S95" s="473" t="s">
        <v>44</v>
      </c>
    </row>
    <row r="96" spans="1:19" ht="12.95" customHeight="1" x14ac:dyDescent="0.2">
      <c r="A96" s="263"/>
      <c r="B96" s="329"/>
      <c r="C96" s="332"/>
      <c r="D96" s="335"/>
      <c r="E96" s="337"/>
      <c r="F96" s="296"/>
      <c r="G96" s="263"/>
      <c r="H96" s="263"/>
      <c r="I96" s="263"/>
      <c r="J96" s="329"/>
      <c r="K96" s="251" t="s">
        <v>451</v>
      </c>
      <c r="L96" s="477" t="s">
        <v>452</v>
      </c>
      <c r="M96" s="43" t="s">
        <v>355</v>
      </c>
      <c r="N96" s="69">
        <v>7</v>
      </c>
      <c r="O96" s="69">
        <v>7</v>
      </c>
      <c r="P96" s="45">
        <f t="shared" si="2"/>
        <v>7</v>
      </c>
      <c r="Q96" s="45">
        <v>7</v>
      </c>
      <c r="R96" s="45" t="s">
        <v>518</v>
      </c>
      <c r="S96" s="426" t="s">
        <v>44</v>
      </c>
    </row>
    <row r="97" spans="1:19" ht="12.95" customHeight="1" x14ac:dyDescent="0.2">
      <c r="A97" s="263"/>
      <c r="B97" s="329"/>
      <c r="C97" s="332"/>
      <c r="D97" s="335"/>
      <c r="E97" s="337"/>
      <c r="F97" s="296"/>
      <c r="G97" s="263"/>
      <c r="H97" s="263"/>
      <c r="I97" s="263"/>
      <c r="J97" s="329"/>
      <c r="K97" s="251" t="s">
        <v>453</v>
      </c>
      <c r="L97" s="477" t="s">
        <v>454</v>
      </c>
      <c r="M97" s="104" t="s">
        <v>265</v>
      </c>
      <c r="N97" s="69">
        <v>7</v>
      </c>
      <c r="O97" s="69">
        <v>7</v>
      </c>
      <c r="P97" s="45">
        <f t="shared" si="2"/>
        <v>7</v>
      </c>
      <c r="Q97" s="472">
        <v>7</v>
      </c>
      <c r="R97" s="45" t="s">
        <v>518</v>
      </c>
      <c r="S97" s="478" t="s">
        <v>44</v>
      </c>
    </row>
    <row r="98" spans="1:19" ht="12.95" customHeight="1" x14ac:dyDescent="0.2">
      <c r="A98" s="264"/>
      <c r="B98" s="330"/>
      <c r="C98" s="333"/>
      <c r="D98" s="336"/>
      <c r="E98" s="303"/>
      <c r="F98" s="297"/>
      <c r="G98" s="264"/>
      <c r="H98" s="264"/>
      <c r="I98" s="264"/>
      <c r="J98" s="330"/>
      <c r="K98" s="249" t="s">
        <v>455</v>
      </c>
      <c r="L98" s="466" t="s">
        <v>84</v>
      </c>
      <c r="M98" s="43" t="s">
        <v>266</v>
      </c>
      <c r="N98" s="44">
        <v>7</v>
      </c>
      <c r="O98" s="44">
        <v>7</v>
      </c>
      <c r="P98" s="45">
        <f t="shared" si="2"/>
        <v>7</v>
      </c>
      <c r="Q98" s="45">
        <v>7</v>
      </c>
      <c r="R98" s="45" t="s">
        <v>518</v>
      </c>
      <c r="S98" s="426" t="s">
        <v>44</v>
      </c>
    </row>
    <row r="99" spans="1:19" ht="3" customHeight="1" x14ac:dyDescent="0.2">
      <c r="A99" s="108"/>
      <c r="B99" s="108"/>
      <c r="C99" s="109"/>
      <c r="D99" s="110"/>
      <c r="E99" s="55"/>
      <c r="F99" s="111"/>
      <c r="G99" s="108"/>
      <c r="H99" s="108"/>
      <c r="I99" s="108"/>
      <c r="J99" s="108"/>
      <c r="K99" s="55"/>
      <c r="L99" s="58"/>
      <c r="M99" s="112"/>
      <c r="N99" s="58"/>
      <c r="O99" s="58"/>
      <c r="P99" s="59"/>
      <c r="Q99" s="59"/>
      <c r="R99" s="59"/>
      <c r="S99" s="479" t="s">
        <v>44</v>
      </c>
    </row>
    <row r="100" spans="1:19" ht="12.95" customHeight="1" x14ac:dyDescent="0.2">
      <c r="A100" s="108"/>
      <c r="B100" s="108"/>
      <c r="C100" s="109"/>
      <c r="D100" s="110"/>
      <c r="E100" s="55"/>
      <c r="F100" s="111"/>
      <c r="G100" s="108"/>
      <c r="H100" s="108"/>
      <c r="I100" s="108"/>
      <c r="J100" s="108"/>
      <c r="K100" s="55"/>
      <c r="L100" s="58"/>
      <c r="M100" s="112"/>
      <c r="N100" s="58"/>
      <c r="O100" s="58"/>
      <c r="P100" s="59"/>
      <c r="Q100" s="59"/>
      <c r="R100" s="59"/>
      <c r="S100" s="54"/>
    </row>
    <row r="101" spans="1:19" ht="12.95" customHeight="1" x14ac:dyDescent="0.2">
      <c r="A101" s="108"/>
      <c r="B101" s="108"/>
      <c r="C101" s="109"/>
      <c r="D101" s="110"/>
      <c r="E101" s="55"/>
      <c r="F101" s="111"/>
      <c r="G101" s="108"/>
      <c r="H101" s="108"/>
      <c r="I101" s="108"/>
      <c r="J101" s="108"/>
      <c r="K101" s="55"/>
      <c r="L101" s="58"/>
      <c r="M101" s="112"/>
      <c r="N101" s="58"/>
      <c r="O101" s="58"/>
      <c r="P101" s="59"/>
      <c r="Q101" s="59"/>
      <c r="R101" s="59"/>
      <c r="S101" s="54"/>
    </row>
    <row r="102" spans="1:19" ht="12.95" customHeight="1" x14ac:dyDescent="0.2">
      <c r="A102" s="108"/>
      <c r="B102" s="108"/>
      <c r="C102" s="109"/>
      <c r="D102" s="110"/>
      <c r="E102" s="55"/>
      <c r="F102" s="111"/>
      <c r="G102" s="108"/>
      <c r="H102" s="108"/>
      <c r="I102" s="108"/>
      <c r="J102" s="108"/>
      <c r="K102" s="55"/>
      <c r="L102" s="58"/>
      <c r="M102" s="112"/>
      <c r="N102" s="58"/>
      <c r="O102" s="58"/>
      <c r="P102" s="59"/>
      <c r="Q102" s="59"/>
      <c r="R102" s="59"/>
      <c r="S102" s="54"/>
    </row>
    <row r="103" spans="1:19" ht="12.95" customHeight="1" x14ac:dyDescent="0.2">
      <c r="A103" s="108"/>
      <c r="B103" s="108"/>
      <c r="C103" s="109"/>
      <c r="D103" s="110"/>
      <c r="E103" s="55"/>
      <c r="F103" s="111"/>
      <c r="G103" s="108"/>
      <c r="H103" s="108"/>
      <c r="I103" s="108"/>
      <c r="J103" s="108"/>
      <c r="K103" s="55"/>
      <c r="L103" s="58"/>
      <c r="M103" s="112"/>
      <c r="N103" s="58"/>
      <c r="O103" s="58"/>
      <c r="P103" s="59"/>
      <c r="Q103" s="59"/>
      <c r="R103" s="59"/>
      <c r="S103" s="54"/>
    </row>
    <row r="104" spans="1:19" ht="7.5" customHeight="1" x14ac:dyDescent="0.2"/>
    <row r="108" spans="1:19" ht="12" customHeight="1" x14ac:dyDescent="0.2"/>
    <row r="109" spans="1:19" ht="19.5" x14ac:dyDescent="0.2">
      <c r="A109" s="259" t="s">
        <v>0</v>
      </c>
      <c r="B109" s="260"/>
      <c r="C109" s="11"/>
      <c r="D109" s="12"/>
      <c r="E109" s="12" t="s">
        <v>14</v>
      </c>
      <c r="F109" s="13"/>
      <c r="G109" s="12"/>
      <c r="H109" s="12" t="s">
        <v>13</v>
      </c>
      <c r="I109" s="12"/>
      <c r="J109" s="13"/>
      <c r="K109" s="11"/>
      <c r="L109" s="12"/>
      <c r="M109" s="6" t="s">
        <v>1</v>
      </c>
      <c r="N109" s="12"/>
      <c r="O109" s="12"/>
      <c r="P109" s="12"/>
      <c r="Q109" s="21"/>
      <c r="R109" s="21"/>
      <c r="S109" s="17" t="s">
        <v>15</v>
      </c>
    </row>
    <row r="110" spans="1:19" ht="45" x14ac:dyDescent="0.2">
      <c r="A110" s="29" t="s">
        <v>2</v>
      </c>
      <c r="B110" s="30" t="s">
        <v>3</v>
      </c>
      <c r="C110" s="30" t="s">
        <v>4</v>
      </c>
      <c r="D110" s="31" t="s">
        <v>5</v>
      </c>
      <c r="E110" s="30" t="s">
        <v>6</v>
      </c>
      <c r="F110" s="30" t="s">
        <v>3</v>
      </c>
      <c r="G110" s="30" t="s">
        <v>10</v>
      </c>
      <c r="H110" s="30" t="s">
        <v>5</v>
      </c>
      <c r="I110" s="30" t="s">
        <v>12</v>
      </c>
      <c r="J110" s="30" t="s">
        <v>11</v>
      </c>
      <c r="K110" s="32" t="s">
        <v>7</v>
      </c>
      <c r="L110" s="31" t="s">
        <v>5</v>
      </c>
      <c r="M110" s="31" t="s">
        <v>9</v>
      </c>
      <c r="N110" s="30" t="s">
        <v>8</v>
      </c>
      <c r="O110" s="30" t="s">
        <v>6</v>
      </c>
      <c r="P110" s="30" t="s">
        <v>3</v>
      </c>
      <c r="Q110" s="30" t="s">
        <v>686</v>
      </c>
      <c r="R110" s="30" t="s">
        <v>18</v>
      </c>
      <c r="S110" s="31" t="s">
        <v>16</v>
      </c>
    </row>
    <row r="111" spans="1:19" x14ac:dyDescent="0.2">
      <c r="A111" s="319" t="s">
        <v>373</v>
      </c>
      <c r="B111" s="307">
        <v>1</v>
      </c>
      <c r="C111" s="319" t="s">
        <v>258</v>
      </c>
      <c r="D111" s="322" t="s">
        <v>456</v>
      </c>
      <c r="E111" s="304" t="s">
        <v>19</v>
      </c>
      <c r="F111" s="307">
        <f>B111</f>
        <v>1</v>
      </c>
      <c r="G111" s="113" t="s">
        <v>44</v>
      </c>
      <c r="H111" s="113" t="s">
        <v>44</v>
      </c>
      <c r="I111" s="114" t="s">
        <v>44</v>
      </c>
      <c r="J111" s="114" t="s">
        <v>44</v>
      </c>
      <c r="K111" s="251" t="s">
        <v>19</v>
      </c>
      <c r="L111" s="465" t="s">
        <v>457</v>
      </c>
      <c r="M111" s="88" t="s">
        <v>363</v>
      </c>
      <c r="N111" s="88">
        <v>1</v>
      </c>
      <c r="O111" s="69">
        <v>1</v>
      </c>
      <c r="P111" s="69">
        <f>O111*B$111</f>
        <v>1</v>
      </c>
      <c r="Q111" s="69">
        <v>0.7</v>
      </c>
      <c r="R111" s="69" t="s">
        <v>496</v>
      </c>
      <c r="S111" s="53"/>
    </row>
    <row r="112" spans="1:19" x14ac:dyDescent="0.2">
      <c r="A112" s="320"/>
      <c r="B112" s="308"/>
      <c r="C112" s="320"/>
      <c r="D112" s="323"/>
      <c r="E112" s="305"/>
      <c r="F112" s="308"/>
      <c r="G112" s="289" t="s">
        <v>250</v>
      </c>
      <c r="H112" s="289" t="s">
        <v>458</v>
      </c>
      <c r="I112" s="292" t="s">
        <v>19</v>
      </c>
      <c r="J112" s="295">
        <f>B111</f>
        <v>1</v>
      </c>
      <c r="K112" s="249" t="s">
        <v>21</v>
      </c>
      <c r="L112" s="461" t="s">
        <v>459</v>
      </c>
      <c r="M112" s="104" t="s">
        <v>460</v>
      </c>
      <c r="N112" s="88">
        <v>1</v>
      </c>
      <c r="O112" s="44">
        <v>1</v>
      </c>
      <c r="P112" s="69">
        <f t="shared" ref="P112:P128" si="3">O112*B$111</f>
        <v>1</v>
      </c>
      <c r="Q112" s="69">
        <v>1</v>
      </c>
      <c r="R112" s="69" t="s">
        <v>518</v>
      </c>
      <c r="S112" s="53"/>
    </row>
    <row r="113" spans="1:19" x14ac:dyDescent="0.2">
      <c r="A113" s="320"/>
      <c r="B113" s="308"/>
      <c r="C113" s="320"/>
      <c r="D113" s="323"/>
      <c r="E113" s="305"/>
      <c r="F113" s="308"/>
      <c r="G113" s="290"/>
      <c r="H113" s="290"/>
      <c r="I113" s="293"/>
      <c r="J113" s="296"/>
      <c r="K113" s="249" t="s">
        <v>23</v>
      </c>
      <c r="L113" s="461" t="s">
        <v>461</v>
      </c>
      <c r="M113" s="104" t="s">
        <v>462</v>
      </c>
      <c r="N113" s="88">
        <v>1</v>
      </c>
      <c r="O113" s="44">
        <v>1</v>
      </c>
      <c r="P113" s="69">
        <f t="shared" si="3"/>
        <v>1</v>
      </c>
      <c r="Q113" s="69">
        <v>1</v>
      </c>
      <c r="R113" s="69" t="s">
        <v>518</v>
      </c>
      <c r="S113" s="53"/>
    </row>
    <row r="114" spans="1:19" x14ac:dyDescent="0.2">
      <c r="A114" s="320"/>
      <c r="B114" s="308"/>
      <c r="C114" s="320"/>
      <c r="D114" s="323"/>
      <c r="E114" s="305"/>
      <c r="F114" s="308"/>
      <c r="G114" s="290"/>
      <c r="H114" s="290"/>
      <c r="I114" s="293"/>
      <c r="J114" s="296"/>
      <c r="K114" s="251" t="s">
        <v>26</v>
      </c>
      <c r="L114" s="461" t="s">
        <v>463</v>
      </c>
      <c r="M114" s="88" t="s">
        <v>464</v>
      </c>
      <c r="N114" s="88">
        <v>1</v>
      </c>
      <c r="O114" s="44">
        <v>1</v>
      </c>
      <c r="P114" s="69">
        <f t="shared" si="3"/>
        <v>1</v>
      </c>
      <c r="Q114" s="69">
        <v>0.4</v>
      </c>
      <c r="R114" s="69" t="s">
        <v>496</v>
      </c>
      <c r="S114" s="53"/>
    </row>
    <row r="115" spans="1:19" x14ac:dyDescent="0.2">
      <c r="A115" s="320"/>
      <c r="B115" s="308"/>
      <c r="C115" s="320"/>
      <c r="D115" s="323"/>
      <c r="E115" s="305"/>
      <c r="F115" s="308"/>
      <c r="G115" s="290"/>
      <c r="H115" s="290"/>
      <c r="I115" s="293"/>
      <c r="J115" s="296"/>
      <c r="K115" s="249" t="s">
        <v>29</v>
      </c>
      <c r="L115" s="461" t="s">
        <v>465</v>
      </c>
      <c r="M115" s="88" t="s">
        <v>466</v>
      </c>
      <c r="N115" s="88">
        <v>1</v>
      </c>
      <c r="O115" s="44">
        <v>1</v>
      </c>
      <c r="P115" s="69">
        <f t="shared" si="3"/>
        <v>1</v>
      </c>
      <c r="Q115" s="69">
        <v>0.25</v>
      </c>
      <c r="R115" s="69" t="s">
        <v>496</v>
      </c>
      <c r="S115" s="53"/>
    </row>
    <row r="116" spans="1:19" x14ac:dyDescent="0.2">
      <c r="A116" s="320"/>
      <c r="B116" s="308"/>
      <c r="C116" s="320"/>
      <c r="D116" s="323"/>
      <c r="E116" s="305"/>
      <c r="F116" s="308"/>
      <c r="G116" s="290"/>
      <c r="H116" s="290"/>
      <c r="I116" s="293"/>
      <c r="J116" s="296"/>
      <c r="K116" s="249" t="s">
        <v>32</v>
      </c>
      <c r="L116" s="461" t="s">
        <v>467</v>
      </c>
      <c r="M116" s="88" t="s">
        <v>468</v>
      </c>
      <c r="N116" s="88">
        <v>2</v>
      </c>
      <c r="O116" s="44">
        <v>2</v>
      </c>
      <c r="P116" s="69">
        <f t="shared" si="3"/>
        <v>2</v>
      </c>
      <c r="Q116" s="69">
        <v>2</v>
      </c>
      <c r="R116" s="69" t="s">
        <v>518</v>
      </c>
      <c r="S116" s="53"/>
    </row>
    <row r="117" spans="1:19" x14ac:dyDescent="0.2">
      <c r="A117" s="320"/>
      <c r="B117" s="308"/>
      <c r="C117" s="320"/>
      <c r="D117" s="323"/>
      <c r="E117" s="305"/>
      <c r="F117" s="308"/>
      <c r="G117" s="290"/>
      <c r="H117" s="290"/>
      <c r="I117" s="293"/>
      <c r="J117" s="296"/>
      <c r="K117" s="251" t="s">
        <v>35</v>
      </c>
      <c r="L117" s="461" t="s">
        <v>469</v>
      </c>
      <c r="M117" s="88" t="s">
        <v>470</v>
      </c>
      <c r="N117" s="88">
        <v>2</v>
      </c>
      <c r="O117" s="44">
        <v>2</v>
      </c>
      <c r="P117" s="69">
        <f t="shared" si="3"/>
        <v>2</v>
      </c>
      <c r="Q117" s="69">
        <v>2</v>
      </c>
      <c r="R117" s="69" t="s">
        <v>518</v>
      </c>
      <c r="S117" s="53"/>
    </row>
    <row r="118" spans="1:19" x14ac:dyDescent="0.2">
      <c r="A118" s="320"/>
      <c r="B118" s="308"/>
      <c r="C118" s="320"/>
      <c r="D118" s="323"/>
      <c r="E118" s="305"/>
      <c r="F118" s="308"/>
      <c r="G118" s="290"/>
      <c r="H118" s="290"/>
      <c r="I118" s="293"/>
      <c r="J118" s="296"/>
      <c r="K118" s="249" t="s">
        <v>37</v>
      </c>
      <c r="L118" s="461" t="s">
        <v>471</v>
      </c>
      <c r="M118" s="88" t="s">
        <v>85</v>
      </c>
      <c r="N118" s="88">
        <v>2</v>
      </c>
      <c r="O118" s="44">
        <v>2</v>
      </c>
      <c r="P118" s="69">
        <f t="shared" si="3"/>
        <v>2</v>
      </c>
      <c r="Q118" s="69">
        <v>2</v>
      </c>
      <c r="R118" s="69" t="s">
        <v>518</v>
      </c>
      <c r="S118" s="53"/>
    </row>
    <row r="119" spans="1:19" x14ac:dyDescent="0.2">
      <c r="A119" s="320"/>
      <c r="B119" s="308"/>
      <c r="C119" s="320"/>
      <c r="D119" s="323"/>
      <c r="E119" s="305"/>
      <c r="F119" s="308"/>
      <c r="G119" s="290"/>
      <c r="H119" s="290"/>
      <c r="I119" s="293"/>
      <c r="J119" s="296"/>
      <c r="K119" s="249" t="s">
        <v>40</v>
      </c>
      <c r="L119" s="461" t="s">
        <v>472</v>
      </c>
      <c r="M119" s="117" t="s">
        <v>473</v>
      </c>
      <c r="N119" s="88">
        <v>2</v>
      </c>
      <c r="O119" s="44">
        <v>2</v>
      </c>
      <c r="P119" s="69">
        <f t="shared" si="3"/>
        <v>2</v>
      </c>
      <c r="Q119" s="69">
        <v>2</v>
      </c>
      <c r="R119" s="69" t="s">
        <v>518</v>
      </c>
      <c r="S119" s="53"/>
    </row>
    <row r="120" spans="1:19" x14ac:dyDescent="0.2">
      <c r="A120" s="320"/>
      <c r="B120" s="308"/>
      <c r="C120" s="320"/>
      <c r="D120" s="323"/>
      <c r="E120" s="305"/>
      <c r="F120" s="308"/>
      <c r="G120" s="291"/>
      <c r="H120" s="291"/>
      <c r="I120" s="294"/>
      <c r="J120" s="297"/>
      <c r="K120" s="251" t="s">
        <v>51</v>
      </c>
      <c r="L120" s="461" t="s">
        <v>474</v>
      </c>
      <c r="M120" s="117" t="s">
        <v>475</v>
      </c>
      <c r="N120" s="88">
        <v>2</v>
      </c>
      <c r="O120" s="44">
        <v>2</v>
      </c>
      <c r="P120" s="69">
        <f t="shared" si="3"/>
        <v>2</v>
      </c>
      <c r="Q120" s="69">
        <v>2</v>
      </c>
      <c r="R120" s="69" t="s">
        <v>518</v>
      </c>
      <c r="S120" s="53"/>
    </row>
    <row r="121" spans="1:19" x14ac:dyDescent="0.2">
      <c r="A121" s="320"/>
      <c r="B121" s="308"/>
      <c r="C121" s="320"/>
      <c r="D121" s="323"/>
      <c r="E121" s="305"/>
      <c r="F121" s="308"/>
      <c r="G121" s="298" t="s">
        <v>255</v>
      </c>
      <c r="H121" s="298" t="s">
        <v>476</v>
      </c>
      <c r="I121" s="300" t="s">
        <v>19</v>
      </c>
      <c r="J121" s="302">
        <f>B111</f>
        <v>1</v>
      </c>
      <c r="K121" s="249" t="s">
        <v>52</v>
      </c>
      <c r="L121" s="461" t="s">
        <v>477</v>
      </c>
      <c r="M121" s="104" t="s">
        <v>462</v>
      </c>
      <c r="N121" s="88">
        <v>1</v>
      </c>
      <c r="O121" s="44">
        <v>1</v>
      </c>
      <c r="P121" s="69">
        <f t="shared" si="3"/>
        <v>1</v>
      </c>
      <c r="Q121" s="69">
        <v>1</v>
      </c>
      <c r="R121" s="69" t="s">
        <v>518</v>
      </c>
      <c r="S121" s="53"/>
    </row>
    <row r="122" spans="1:19" x14ac:dyDescent="0.2">
      <c r="A122" s="320"/>
      <c r="B122" s="308"/>
      <c r="C122" s="320"/>
      <c r="D122" s="323"/>
      <c r="E122" s="305"/>
      <c r="F122" s="308"/>
      <c r="G122" s="299"/>
      <c r="H122" s="299"/>
      <c r="I122" s="301"/>
      <c r="J122" s="303"/>
      <c r="K122" s="249" t="s">
        <v>53</v>
      </c>
      <c r="L122" s="480" t="s">
        <v>478</v>
      </c>
      <c r="M122" s="78" t="s">
        <v>363</v>
      </c>
      <c r="N122" s="78">
        <v>1</v>
      </c>
      <c r="O122" s="91">
        <v>1</v>
      </c>
      <c r="P122" s="69">
        <f t="shared" si="3"/>
        <v>1</v>
      </c>
      <c r="Q122" s="69">
        <v>0.5</v>
      </c>
      <c r="R122" s="69" t="s">
        <v>496</v>
      </c>
      <c r="S122" s="53"/>
    </row>
    <row r="123" spans="1:19" x14ac:dyDescent="0.2">
      <c r="A123" s="320"/>
      <c r="B123" s="308"/>
      <c r="C123" s="320"/>
      <c r="D123" s="323"/>
      <c r="E123" s="305"/>
      <c r="F123" s="308"/>
      <c r="G123" s="120" t="s">
        <v>44</v>
      </c>
      <c r="H123" s="120" t="s">
        <v>44</v>
      </c>
      <c r="I123" s="121" t="s">
        <v>44</v>
      </c>
      <c r="J123" s="121" t="s">
        <v>44</v>
      </c>
      <c r="K123" s="251" t="s">
        <v>57</v>
      </c>
      <c r="L123" s="461" t="s">
        <v>479</v>
      </c>
      <c r="M123" s="43" t="s">
        <v>480</v>
      </c>
      <c r="N123" s="78">
        <v>1</v>
      </c>
      <c r="O123" s="91">
        <v>1</v>
      </c>
      <c r="P123" s="69">
        <f t="shared" si="3"/>
        <v>1</v>
      </c>
      <c r="Q123" s="69">
        <v>1</v>
      </c>
      <c r="R123" s="69" t="s">
        <v>518</v>
      </c>
      <c r="S123" s="53"/>
    </row>
    <row r="124" spans="1:19" x14ac:dyDescent="0.2">
      <c r="A124" s="320"/>
      <c r="B124" s="308"/>
      <c r="C124" s="320"/>
      <c r="D124" s="323"/>
      <c r="E124" s="305"/>
      <c r="F124" s="308"/>
      <c r="G124" s="120" t="s">
        <v>44</v>
      </c>
      <c r="H124" s="120" t="s">
        <v>44</v>
      </c>
      <c r="I124" s="121" t="s">
        <v>44</v>
      </c>
      <c r="J124" s="121" t="s">
        <v>44</v>
      </c>
      <c r="K124" s="249" t="s">
        <v>58</v>
      </c>
      <c r="L124" s="461" t="s">
        <v>481</v>
      </c>
      <c r="M124" s="104" t="s">
        <v>482</v>
      </c>
      <c r="N124" s="78">
        <v>2</v>
      </c>
      <c r="O124" s="91">
        <v>2</v>
      </c>
      <c r="P124" s="69">
        <f t="shared" si="3"/>
        <v>2</v>
      </c>
      <c r="Q124" s="69">
        <v>2</v>
      </c>
      <c r="R124" s="69" t="s">
        <v>518</v>
      </c>
      <c r="S124" s="53"/>
    </row>
    <row r="125" spans="1:19" ht="28.5" x14ac:dyDescent="0.2">
      <c r="A125" s="320"/>
      <c r="B125" s="308"/>
      <c r="C125" s="320"/>
      <c r="D125" s="323"/>
      <c r="E125" s="305"/>
      <c r="F125" s="308"/>
      <c r="G125" s="311" t="s">
        <v>258</v>
      </c>
      <c r="H125" s="314" t="s">
        <v>483</v>
      </c>
      <c r="I125" s="283" t="s">
        <v>19</v>
      </c>
      <c r="J125" s="286">
        <f>B111</f>
        <v>1</v>
      </c>
      <c r="K125" s="249" t="s">
        <v>65</v>
      </c>
      <c r="L125" s="481" t="s">
        <v>484</v>
      </c>
      <c r="M125" s="122" t="s">
        <v>485</v>
      </c>
      <c r="N125" s="78">
        <v>1</v>
      </c>
      <c r="O125" s="91">
        <v>1</v>
      </c>
      <c r="P125" s="69">
        <f t="shared" si="3"/>
        <v>1</v>
      </c>
      <c r="Q125" s="69">
        <v>1.2</v>
      </c>
      <c r="R125" s="69" t="s">
        <v>496</v>
      </c>
      <c r="S125" s="53"/>
    </row>
    <row r="126" spans="1:19" ht="15" x14ac:dyDescent="0.2">
      <c r="A126" s="320"/>
      <c r="B126" s="308"/>
      <c r="C126" s="320"/>
      <c r="D126" s="323"/>
      <c r="E126" s="305"/>
      <c r="F126" s="308"/>
      <c r="G126" s="312"/>
      <c r="H126" s="315"/>
      <c r="I126" s="284"/>
      <c r="J126" s="287"/>
      <c r="K126" s="251" t="s">
        <v>66</v>
      </c>
      <c r="L126" s="481" t="s">
        <v>486</v>
      </c>
      <c r="M126" s="124" t="s">
        <v>487</v>
      </c>
      <c r="N126" s="78">
        <v>1</v>
      </c>
      <c r="O126" s="91">
        <v>1</v>
      </c>
      <c r="P126" s="69">
        <f t="shared" si="3"/>
        <v>1</v>
      </c>
      <c r="Q126" s="69">
        <v>0.8</v>
      </c>
      <c r="R126" s="69" t="s">
        <v>496</v>
      </c>
      <c r="S126" s="53"/>
    </row>
    <row r="127" spans="1:19" x14ac:dyDescent="0.2">
      <c r="A127" s="320"/>
      <c r="B127" s="308"/>
      <c r="C127" s="320"/>
      <c r="D127" s="323"/>
      <c r="E127" s="305"/>
      <c r="F127" s="308"/>
      <c r="G127" s="312"/>
      <c r="H127" s="315"/>
      <c r="I127" s="284"/>
      <c r="J127" s="287"/>
      <c r="K127" s="249" t="s">
        <v>67</v>
      </c>
      <c r="L127" s="481" t="s">
        <v>488</v>
      </c>
      <c r="M127" s="104" t="s">
        <v>489</v>
      </c>
      <c r="N127" s="78">
        <v>1</v>
      </c>
      <c r="O127" s="91">
        <v>1</v>
      </c>
      <c r="P127" s="69">
        <f t="shared" si="3"/>
        <v>1</v>
      </c>
      <c r="Q127" s="69">
        <v>1</v>
      </c>
      <c r="R127" s="69" t="s">
        <v>518</v>
      </c>
      <c r="S127" s="53"/>
    </row>
    <row r="128" spans="1:19" ht="28.5" x14ac:dyDescent="0.2">
      <c r="A128" s="321"/>
      <c r="B128" s="309"/>
      <c r="C128" s="321"/>
      <c r="D128" s="324"/>
      <c r="E128" s="306"/>
      <c r="F128" s="309"/>
      <c r="G128" s="313"/>
      <c r="H128" s="316"/>
      <c r="I128" s="285"/>
      <c r="J128" s="288"/>
      <c r="K128" s="249" t="s">
        <v>68</v>
      </c>
      <c r="L128" s="481" t="s">
        <v>490</v>
      </c>
      <c r="M128" s="122" t="s">
        <v>491</v>
      </c>
      <c r="N128" s="78">
        <v>1</v>
      </c>
      <c r="O128" s="44">
        <v>1</v>
      </c>
      <c r="P128" s="69">
        <f t="shared" si="3"/>
        <v>1</v>
      </c>
      <c r="Q128" s="69">
        <v>0.7</v>
      </c>
      <c r="R128" s="69" t="s">
        <v>496</v>
      </c>
      <c r="S128" s="53"/>
    </row>
  </sheetData>
  <mergeCells count="65">
    <mergeCell ref="G125:G128"/>
    <mergeCell ref="H125:H128"/>
    <mergeCell ref="I125:I128"/>
    <mergeCell ref="J125:J128"/>
    <mergeCell ref="G112:G120"/>
    <mergeCell ref="H112:H120"/>
    <mergeCell ref="I112:I120"/>
    <mergeCell ref="J112:J120"/>
    <mergeCell ref="G121:G122"/>
    <mergeCell ref="H121:H122"/>
    <mergeCell ref="I121:I122"/>
    <mergeCell ref="J121:J122"/>
    <mergeCell ref="H95:H98"/>
    <mergeCell ref="I95:I98"/>
    <mergeCell ref="J95:J98"/>
    <mergeCell ref="A109:B109"/>
    <mergeCell ref="A111:A128"/>
    <mergeCell ref="B111:B128"/>
    <mergeCell ref="C111:C128"/>
    <mergeCell ref="D111:D128"/>
    <mergeCell ref="E111:E128"/>
    <mergeCell ref="F111:F128"/>
    <mergeCell ref="F72:F98"/>
    <mergeCell ref="G72:G91"/>
    <mergeCell ref="H72:H91"/>
    <mergeCell ref="I72:I91"/>
    <mergeCell ref="J72:J91"/>
    <mergeCell ref="G92:G93"/>
    <mergeCell ref="H92:H93"/>
    <mergeCell ref="I92:I93"/>
    <mergeCell ref="J92:J93"/>
    <mergeCell ref="G95:G98"/>
    <mergeCell ref="A70:B70"/>
    <mergeCell ref="A72:A98"/>
    <mergeCell ref="B72:B98"/>
    <mergeCell ref="C72:C98"/>
    <mergeCell ref="D72:D98"/>
    <mergeCell ref="E72:E98"/>
    <mergeCell ref="H42:H44"/>
    <mergeCell ref="I42:I44"/>
    <mergeCell ref="J42:J44"/>
    <mergeCell ref="G45:G46"/>
    <mergeCell ref="H45:H46"/>
    <mergeCell ref="I45:I46"/>
    <mergeCell ref="J45:J46"/>
    <mergeCell ref="I8:I19"/>
    <mergeCell ref="J8:J19"/>
    <mergeCell ref="A40:B40"/>
    <mergeCell ref="A42:A49"/>
    <mergeCell ref="B42:B49"/>
    <mergeCell ref="C42:C49"/>
    <mergeCell ref="D42:D49"/>
    <mergeCell ref="E42:E49"/>
    <mergeCell ref="F42:F49"/>
    <mergeCell ref="G42:G44"/>
    <mergeCell ref="A6:B6"/>
    <mergeCell ref="K6:R6"/>
    <mergeCell ref="A8:A19"/>
    <mergeCell ref="B8:B19"/>
    <mergeCell ref="C8:C19"/>
    <mergeCell ref="D8:D19"/>
    <mergeCell ref="E8:E19"/>
    <mergeCell ref="F8:F19"/>
    <mergeCell ref="G8:G19"/>
    <mergeCell ref="H8:H19"/>
  </mergeCells>
  <pageMargins left="0.46195652173913043" right="0.7" top="0.66666666666666663" bottom="0.71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zoomScaleNormal="100" workbookViewId="0">
      <selection activeCell="M10" sqref="M10"/>
    </sheetView>
  </sheetViews>
  <sheetFormatPr defaultRowHeight="14.25" x14ac:dyDescent="0.2"/>
  <cols>
    <col min="1" max="1" width="5" customWidth="1"/>
    <col min="2" max="3" width="4.25" customWidth="1"/>
    <col min="4" max="4" width="5.25" customWidth="1"/>
    <col min="5" max="5" width="3.375" customWidth="1"/>
    <col min="6" max="6" width="5.375" customWidth="1"/>
    <col min="7" max="7" width="5.125" customWidth="1"/>
    <col min="8" max="8" width="6.25" customWidth="1"/>
    <col min="9" max="9" width="10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8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4.125" customWidth="1"/>
    <col min="21" max="21" width="8" customWidth="1"/>
  </cols>
  <sheetData>
    <row r="4" spans="1:29" ht="12" customHeight="1" x14ac:dyDescent="0.2"/>
    <row r="5" spans="1:29" ht="5.25" customHeight="1" x14ac:dyDescent="0.2"/>
    <row r="6" spans="1:29" ht="19.5" x14ac:dyDescent="0.2">
      <c r="A6" s="259" t="s">
        <v>0</v>
      </c>
      <c r="B6" s="260"/>
      <c r="C6" s="26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9" ht="48.95" customHeight="1" x14ac:dyDescent="0.2">
      <c r="A7" s="20" t="s">
        <v>2</v>
      </c>
      <c r="B7" s="20" t="s">
        <v>492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9" ht="14.25" customHeight="1" x14ac:dyDescent="0.2">
      <c r="A8" s="289" t="s">
        <v>335</v>
      </c>
      <c r="B8" s="295">
        <v>15</v>
      </c>
      <c r="C8" s="295">
        <v>2</v>
      </c>
      <c r="D8" s="289" t="s">
        <v>258</v>
      </c>
      <c r="E8" s="302">
        <v>3400</v>
      </c>
      <c r="F8" s="298" t="s">
        <v>19</v>
      </c>
      <c r="G8" s="295">
        <f>C8*F8</f>
        <v>2</v>
      </c>
      <c r="H8" s="295" t="s">
        <v>250</v>
      </c>
      <c r="I8" s="365" t="s">
        <v>493</v>
      </c>
      <c r="J8" s="367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K8" s="295">
        <f>J8*G8</f>
        <v>12</v>
      </c>
      <c r="L8" s="72" t="s">
        <v>19</v>
      </c>
      <c r="M8" s="243" t="s">
        <v>494</v>
      </c>
      <c r="N8" s="128" t="s">
        <v>495</v>
      </c>
      <c r="O8" s="129">
        <f>2*$J$8</f>
        <v>12</v>
      </c>
      <c r="P8" s="129">
        <f>O8*$F$8</f>
        <v>12</v>
      </c>
      <c r="Q8" s="129">
        <f>P8*$C$8</f>
        <v>24</v>
      </c>
      <c r="R8" s="129">
        <f>7*$Q$8</f>
        <v>168</v>
      </c>
      <c r="S8" s="130" t="s">
        <v>496</v>
      </c>
      <c r="T8" s="131"/>
    </row>
    <row r="9" spans="1:29" ht="14.25" customHeight="1" x14ac:dyDescent="0.2">
      <c r="A9" s="290"/>
      <c r="B9" s="296"/>
      <c r="C9" s="296"/>
      <c r="D9" s="290"/>
      <c r="E9" s="337"/>
      <c r="F9" s="348"/>
      <c r="G9" s="296"/>
      <c r="H9" s="296"/>
      <c r="I9" s="365"/>
      <c r="J9" s="368"/>
      <c r="K9" s="296"/>
      <c r="L9" s="72" t="s">
        <v>21</v>
      </c>
      <c r="M9" s="243" t="s">
        <v>497</v>
      </c>
      <c r="N9" s="132" t="s">
        <v>498</v>
      </c>
      <c r="O9" s="129">
        <f t="shared" ref="O9:O10" si="0">2*$J$8</f>
        <v>12</v>
      </c>
      <c r="P9" s="129">
        <f t="shared" ref="P9:P26" si="1">O9*$F$8</f>
        <v>12</v>
      </c>
      <c r="Q9" s="129">
        <f t="shared" ref="Q9:Q26" si="2">P9*$C$8</f>
        <v>24</v>
      </c>
      <c r="R9" s="132">
        <f>7.2*Q9</f>
        <v>172.8</v>
      </c>
      <c r="S9" s="130" t="s">
        <v>496</v>
      </c>
      <c r="T9" s="133"/>
    </row>
    <row r="10" spans="1:29" ht="14.25" customHeight="1" x14ac:dyDescent="0.2">
      <c r="A10" s="290"/>
      <c r="B10" s="296"/>
      <c r="C10" s="296"/>
      <c r="D10" s="290"/>
      <c r="E10" s="337"/>
      <c r="F10" s="348"/>
      <c r="G10" s="296"/>
      <c r="H10" s="296"/>
      <c r="I10" s="365"/>
      <c r="J10" s="368"/>
      <c r="K10" s="296"/>
      <c r="L10" s="72" t="s">
        <v>23</v>
      </c>
      <c r="M10" s="243" t="s">
        <v>499</v>
      </c>
      <c r="N10" s="128" t="s">
        <v>500</v>
      </c>
      <c r="O10" s="129">
        <f t="shared" si="0"/>
        <v>12</v>
      </c>
      <c r="P10" s="129">
        <f t="shared" si="1"/>
        <v>12</v>
      </c>
      <c r="Q10" s="129">
        <f t="shared" si="2"/>
        <v>24</v>
      </c>
      <c r="R10" s="129">
        <f>3.6*Q10</f>
        <v>86.4</v>
      </c>
      <c r="S10" s="130" t="s">
        <v>496</v>
      </c>
      <c r="T10" s="133"/>
    </row>
    <row r="11" spans="1:29" ht="14.25" customHeight="1" thickBot="1" x14ac:dyDescent="0.25">
      <c r="A11" s="290"/>
      <c r="B11" s="296"/>
      <c r="C11" s="296"/>
      <c r="D11" s="290"/>
      <c r="E11" s="337"/>
      <c r="F11" s="348"/>
      <c r="G11" s="296"/>
      <c r="H11" s="356"/>
      <c r="I11" s="366"/>
      <c r="J11" s="369"/>
      <c r="K11" s="356"/>
      <c r="L11" s="134" t="s">
        <v>26</v>
      </c>
      <c r="M11" s="244" t="s">
        <v>132</v>
      </c>
      <c r="N11" s="135" t="s">
        <v>501</v>
      </c>
      <c r="O11" s="136" t="str">
        <f>$J$8</f>
        <v>6</v>
      </c>
      <c r="P11" s="136">
        <f t="shared" si="1"/>
        <v>6</v>
      </c>
      <c r="Q11" s="136">
        <f t="shared" si="2"/>
        <v>12</v>
      </c>
      <c r="R11" s="136">
        <f>1.9*Q11</f>
        <v>22.799999999999997</v>
      </c>
      <c r="S11" s="137" t="s">
        <v>496</v>
      </c>
      <c r="T11" s="138"/>
    </row>
    <row r="12" spans="1:29" ht="14.25" customHeight="1" x14ac:dyDescent="0.2">
      <c r="A12" s="290"/>
      <c r="B12" s="296"/>
      <c r="C12" s="296"/>
      <c r="D12" s="290"/>
      <c r="E12" s="337"/>
      <c r="F12" s="348"/>
      <c r="G12" s="296"/>
      <c r="H12" s="355" t="s">
        <v>255</v>
      </c>
      <c r="I12" s="370" t="s">
        <v>502</v>
      </c>
      <c r="J12" s="355">
        <v>2</v>
      </c>
      <c r="K12" s="355">
        <f>J12*G8</f>
        <v>4</v>
      </c>
      <c r="L12" s="139">
        <v>1</v>
      </c>
      <c r="M12" s="245" t="s">
        <v>503</v>
      </c>
      <c r="N12" s="140" t="s">
        <v>504</v>
      </c>
      <c r="O12" s="141">
        <v>1</v>
      </c>
      <c r="P12" s="141">
        <f t="shared" si="1"/>
        <v>1</v>
      </c>
      <c r="Q12" s="142">
        <f t="shared" si="2"/>
        <v>2</v>
      </c>
      <c r="R12" s="142">
        <f>Q12*5.7</f>
        <v>11.4</v>
      </c>
      <c r="S12" s="143" t="s">
        <v>496</v>
      </c>
      <c r="T12" s="144"/>
      <c r="U12" s="145"/>
      <c r="V12" s="146"/>
      <c r="W12" s="147"/>
      <c r="X12" s="146"/>
      <c r="Y12" s="146"/>
      <c r="Z12" s="146"/>
      <c r="AA12" s="146"/>
      <c r="AB12" s="146"/>
      <c r="AC12" s="148"/>
    </row>
    <row r="13" spans="1:29" ht="14.25" customHeight="1" x14ac:dyDescent="0.2">
      <c r="A13" s="290"/>
      <c r="B13" s="296"/>
      <c r="C13" s="296"/>
      <c r="D13" s="290"/>
      <c r="E13" s="337"/>
      <c r="F13" s="348"/>
      <c r="G13" s="296"/>
      <c r="H13" s="296"/>
      <c r="I13" s="371"/>
      <c r="J13" s="296"/>
      <c r="K13" s="296"/>
      <c r="L13" s="72">
        <v>2</v>
      </c>
      <c r="M13" s="243" t="s">
        <v>505</v>
      </c>
      <c r="N13" s="149" t="s">
        <v>506</v>
      </c>
      <c r="O13" s="129">
        <v>1</v>
      </c>
      <c r="P13" s="129">
        <f t="shared" si="1"/>
        <v>1</v>
      </c>
      <c r="Q13" s="150">
        <f t="shared" si="2"/>
        <v>2</v>
      </c>
      <c r="R13" s="150">
        <f>Q13*6.6</f>
        <v>13.2</v>
      </c>
      <c r="S13" s="130" t="s">
        <v>496</v>
      </c>
      <c r="T13" s="133"/>
      <c r="U13" s="145"/>
      <c r="V13" s="146"/>
      <c r="W13" s="147"/>
      <c r="X13" s="146"/>
      <c r="Y13" s="146"/>
      <c r="Z13" s="151"/>
      <c r="AA13" s="151"/>
      <c r="AB13" s="151"/>
      <c r="AC13" s="148"/>
    </row>
    <row r="14" spans="1:29" ht="14.25" customHeight="1" x14ac:dyDescent="0.2">
      <c r="A14" s="290"/>
      <c r="B14" s="296"/>
      <c r="C14" s="296"/>
      <c r="D14" s="290"/>
      <c r="E14" s="337"/>
      <c r="F14" s="348"/>
      <c r="G14" s="296"/>
      <c r="H14" s="296"/>
      <c r="I14" s="371"/>
      <c r="J14" s="296"/>
      <c r="K14" s="296"/>
      <c r="L14" s="72">
        <v>3</v>
      </c>
      <c r="M14" s="243" t="s">
        <v>507</v>
      </c>
      <c r="N14" s="128" t="s">
        <v>508</v>
      </c>
      <c r="O14" s="128">
        <f>4</f>
        <v>4</v>
      </c>
      <c r="P14" s="128">
        <f t="shared" si="1"/>
        <v>4</v>
      </c>
      <c r="Q14" s="150">
        <f t="shared" si="2"/>
        <v>8</v>
      </c>
      <c r="R14" s="150">
        <f>7.5*Q14</f>
        <v>60</v>
      </c>
      <c r="S14" s="130" t="s">
        <v>496</v>
      </c>
      <c r="T14" s="133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25" customHeight="1" thickBot="1" x14ac:dyDescent="0.25">
      <c r="A15" s="290"/>
      <c r="B15" s="296"/>
      <c r="C15" s="296"/>
      <c r="D15" s="290"/>
      <c r="E15" s="337"/>
      <c r="F15" s="348"/>
      <c r="G15" s="296"/>
      <c r="H15" s="356"/>
      <c r="I15" s="372"/>
      <c r="J15" s="356"/>
      <c r="K15" s="356"/>
      <c r="L15" s="134">
        <v>4</v>
      </c>
      <c r="M15" s="244" t="s">
        <v>509</v>
      </c>
      <c r="N15" s="152" t="s">
        <v>510</v>
      </c>
      <c r="O15" s="153" t="str">
        <f>IF(B8=30,"6",IF(B8=25,"5",IF(B8=20,"4",IF(B8=15,"3"))))</f>
        <v>3</v>
      </c>
      <c r="P15" s="154">
        <f t="shared" si="1"/>
        <v>3</v>
      </c>
      <c r="Q15" s="155">
        <f t="shared" si="2"/>
        <v>6</v>
      </c>
      <c r="R15" s="155">
        <f>Q15*0.52</f>
        <v>3.12</v>
      </c>
      <c r="S15" s="137" t="s">
        <v>496</v>
      </c>
      <c r="T15" s="138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25" customHeight="1" x14ac:dyDescent="0.2">
      <c r="A16" s="290"/>
      <c r="B16" s="296"/>
      <c r="C16" s="296"/>
      <c r="D16" s="290"/>
      <c r="E16" s="337"/>
      <c r="F16" s="348"/>
      <c r="G16" s="296"/>
      <c r="H16" s="343" t="s">
        <v>258</v>
      </c>
      <c r="I16" s="363" t="s">
        <v>511</v>
      </c>
      <c r="J16" s="343">
        <v>1</v>
      </c>
      <c r="K16" s="343">
        <f>J16*G8</f>
        <v>2</v>
      </c>
      <c r="L16" s="106">
        <v>1</v>
      </c>
      <c r="M16" s="246" t="s">
        <v>512</v>
      </c>
      <c r="N16" s="156" t="str">
        <f>IF(B8=30,"UPN40,L=6600",IF(B8=20,"UPN40,L=4600",IF(B8=25,"UPN40,L=5600",IF(B8=15,"UPN40,L=3600"))))</f>
        <v>UPN40,L=3600</v>
      </c>
      <c r="O16" s="157">
        <v>1</v>
      </c>
      <c r="P16" s="157">
        <f t="shared" si="1"/>
        <v>1</v>
      </c>
      <c r="Q16" s="158">
        <f t="shared" si="2"/>
        <v>2</v>
      </c>
      <c r="R16" s="44">
        <f>(IF(B8=30,"12.4",IF(B8=20,"8.7",IF(B8=25,"10.6",IF(B8=15,"6.8")))))*Q16</f>
        <v>13.6</v>
      </c>
      <c r="S16" s="125" t="s">
        <v>496</v>
      </c>
      <c r="T16" s="159"/>
      <c r="U16" s="54"/>
      <c r="V16" s="54"/>
      <c r="W16" s="54"/>
      <c r="X16" s="54"/>
      <c r="Y16" s="54"/>
      <c r="Z16" s="54"/>
      <c r="AA16" s="54"/>
      <c r="AB16" s="54"/>
      <c r="AC16" s="54"/>
    </row>
    <row r="17" spans="1:29" ht="14.25" customHeight="1" thickBot="1" x14ac:dyDescent="0.25">
      <c r="A17" s="290"/>
      <c r="B17" s="296"/>
      <c r="C17" s="296"/>
      <c r="D17" s="290"/>
      <c r="E17" s="337"/>
      <c r="F17" s="348"/>
      <c r="G17" s="296"/>
      <c r="H17" s="344"/>
      <c r="I17" s="364"/>
      <c r="J17" s="344"/>
      <c r="K17" s="344"/>
      <c r="L17" s="134">
        <v>2</v>
      </c>
      <c r="M17" s="244" t="s">
        <v>513</v>
      </c>
      <c r="N17" s="135" t="s">
        <v>514</v>
      </c>
      <c r="O17" s="136">
        <v>6</v>
      </c>
      <c r="P17" s="136">
        <f t="shared" si="1"/>
        <v>6</v>
      </c>
      <c r="Q17" s="155">
        <f t="shared" si="2"/>
        <v>12</v>
      </c>
      <c r="R17" s="155">
        <f>0.1*Q17</f>
        <v>1.2000000000000002</v>
      </c>
      <c r="S17" s="137" t="s">
        <v>496</v>
      </c>
      <c r="T17" s="138"/>
      <c r="U17" s="54"/>
      <c r="V17" s="54"/>
      <c r="W17" s="54"/>
      <c r="X17" s="54"/>
      <c r="Y17" s="54"/>
      <c r="Z17" s="54"/>
      <c r="AA17" s="54"/>
      <c r="AB17" s="54"/>
      <c r="AC17" s="54"/>
    </row>
    <row r="18" spans="1:29" ht="14.25" customHeight="1" x14ac:dyDescent="0.2">
      <c r="A18" s="290"/>
      <c r="B18" s="296"/>
      <c r="C18" s="296"/>
      <c r="D18" s="290"/>
      <c r="E18" s="337"/>
      <c r="F18" s="348"/>
      <c r="G18" s="296"/>
      <c r="H18" s="353" t="s">
        <v>335</v>
      </c>
      <c r="I18" s="355" t="s">
        <v>515</v>
      </c>
      <c r="J18" s="355" t="str">
        <f>J8</f>
        <v>6</v>
      </c>
      <c r="K18" s="355">
        <f>J18*G8</f>
        <v>12</v>
      </c>
      <c r="L18" s="139">
        <v>1</v>
      </c>
      <c r="M18" s="245" t="s">
        <v>516</v>
      </c>
      <c r="N18" s="160" t="s">
        <v>517</v>
      </c>
      <c r="O18" s="141" t="str">
        <f>J18</f>
        <v>6</v>
      </c>
      <c r="P18" s="141">
        <f t="shared" si="1"/>
        <v>6</v>
      </c>
      <c r="Q18" s="141">
        <f t="shared" si="2"/>
        <v>12</v>
      </c>
      <c r="R18" s="141">
        <f>Q18</f>
        <v>12</v>
      </c>
      <c r="S18" s="143" t="s">
        <v>518</v>
      </c>
      <c r="T18" s="144"/>
      <c r="U18" s="145"/>
      <c r="V18" s="147"/>
      <c r="W18" s="147"/>
      <c r="X18" s="161"/>
      <c r="Y18" s="161"/>
      <c r="Z18" s="151"/>
      <c r="AA18" s="151"/>
      <c r="AB18" s="151"/>
      <c r="AC18" s="148"/>
    </row>
    <row r="19" spans="1:29" ht="14.25" customHeight="1" thickBot="1" x14ac:dyDescent="0.25">
      <c r="A19" s="290"/>
      <c r="B19" s="296"/>
      <c r="C19" s="296"/>
      <c r="D19" s="290"/>
      <c r="E19" s="337"/>
      <c r="F19" s="348"/>
      <c r="G19" s="296"/>
      <c r="H19" s="354"/>
      <c r="I19" s="356"/>
      <c r="J19" s="356"/>
      <c r="K19" s="356"/>
      <c r="L19" s="134">
        <v>2</v>
      </c>
      <c r="M19" s="244" t="s">
        <v>519</v>
      </c>
      <c r="N19" s="135" t="s">
        <v>520</v>
      </c>
      <c r="O19" s="136" t="str">
        <f>O18</f>
        <v>6</v>
      </c>
      <c r="P19" s="136">
        <f t="shared" si="1"/>
        <v>6</v>
      </c>
      <c r="Q19" s="136">
        <f t="shared" si="2"/>
        <v>12</v>
      </c>
      <c r="R19" s="136">
        <f>0.8*Q19</f>
        <v>9.6000000000000014</v>
      </c>
      <c r="S19" s="137" t="s">
        <v>496</v>
      </c>
      <c r="T19" s="138"/>
      <c r="U19" s="145"/>
      <c r="V19" s="146"/>
      <c r="W19" s="147"/>
      <c r="X19" s="146"/>
      <c r="Y19" s="146"/>
      <c r="Z19" s="151"/>
      <c r="AA19" s="151"/>
      <c r="AB19" s="151"/>
      <c r="AC19" s="148"/>
    </row>
    <row r="20" spans="1:29" ht="15" customHeight="1" x14ac:dyDescent="0.2">
      <c r="A20" s="290"/>
      <c r="B20" s="296"/>
      <c r="C20" s="296"/>
      <c r="D20" s="290"/>
      <c r="E20" s="337"/>
      <c r="F20" s="348"/>
      <c r="G20" s="296"/>
      <c r="H20" s="353" t="s">
        <v>249</v>
      </c>
      <c r="I20" s="355" t="s">
        <v>521</v>
      </c>
      <c r="J20" s="355" t="str">
        <f>IF(B8=30,"12",IF(B8=25,"10",IF(B8=20,"8",IF(B8=15,"6"))))</f>
        <v>6</v>
      </c>
      <c r="K20" s="355">
        <f>G8*J20</f>
        <v>12</v>
      </c>
      <c r="L20" s="139">
        <v>1</v>
      </c>
      <c r="M20" s="245" t="s">
        <v>522</v>
      </c>
      <c r="N20" s="162" t="str">
        <f>IF(B8=30,"4x162x1415",IF(B8=25,"4x162x1165",IF(B8=20,"4x162x915",IF(B8=15,"4x162x665"))))</f>
        <v>4x162x665</v>
      </c>
      <c r="O20" s="141">
        <f t="shared" ref="O20" si="3">2*$J$8</f>
        <v>12</v>
      </c>
      <c r="P20" s="141">
        <f t="shared" si="1"/>
        <v>12</v>
      </c>
      <c r="Q20" s="141">
        <f t="shared" si="2"/>
        <v>24</v>
      </c>
      <c r="R20" s="162">
        <f>(IF(B8=30,"7.2",IF(B8=25,"5.9",IF(B8=20,"4.6",IF(B8=15,"3.3")))))*Q20</f>
        <v>79.199999999999989</v>
      </c>
      <c r="S20" s="143" t="s">
        <v>496</v>
      </c>
      <c r="T20" s="144"/>
      <c r="U20" s="54"/>
      <c r="V20" s="54"/>
      <c r="W20" s="54"/>
      <c r="X20" s="54"/>
      <c r="Y20" s="54"/>
      <c r="Z20" s="54"/>
      <c r="AA20" s="54"/>
      <c r="AB20" s="54"/>
      <c r="AC20" s="54"/>
    </row>
    <row r="21" spans="1:29" ht="14.25" customHeight="1" thickBot="1" x14ac:dyDescent="0.25">
      <c r="A21" s="290"/>
      <c r="B21" s="296"/>
      <c r="C21" s="296"/>
      <c r="D21" s="290"/>
      <c r="E21" s="337"/>
      <c r="F21" s="348"/>
      <c r="G21" s="296"/>
      <c r="H21" s="354"/>
      <c r="I21" s="356"/>
      <c r="J21" s="356"/>
      <c r="K21" s="356"/>
      <c r="L21" s="134">
        <v>2</v>
      </c>
      <c r="M21" s="244" t="s">
        <v>523</v>
      </c>
      <c r="N21" s="164" t="s">
        <v>524</v>
      </c>
      <c r="O21" s="136">
        <f>2*J20</f>
        <v>12</v>
      </c>
      <c r="P21" s="136">
        <f>O21*F8</f>
        <v>12</v>
      </c>
      <c r="Q21" s="155">
        <f>P21*C8</f>
        <v>24</v>
      </c>
      <c r="R21" s="155">
        <f>0.088*Q21</f>
        <v>2.1120000000000001</v>
      </c>
      <c r="S21" s="137" t="s">
        <v>496</v>
      </c>
      <c r="T21" s="138"/>
      <c r="U21" s="54"/>
      <c r="V21" s="54"/>
      <c r="W21" s="54"/>
      <c r="X21" s="54"/>
      <c r="Y21" s="54"/>
      <c r="Z21" s="54"/>
      <c r="AA21" s="54"/>
      <c r="AB21" s="54"/>
      <c r="AC21" s="54"/>
    </row>
    <row r="22" spans="1:29" ht="14.25" customHeight="1" x14ac:dyDescent="0.2">
      <c r="A22" s="290"/>
      <c r="B22" s="296"/>
      <c r="C22" s="296"/>
      <c r="D22" s="290"/>
      <c r="E22" s="337"/>
      <c r="F22" s="348"/>
      <c r="G22" s="296"/>
      <c r="H22" s="165"/>
      <c r="I22" s="166" t="s">
        <v>525</v>
      </c>
      <c r="J22" s="165"/>
      <c r="K22" s="165"/>
      <c r="L22" s="106">
        <v>1</v>
      </c>
      <c r="M22" s="246" t="s">
        <v>525</v>
      </c>
      <c r="N22" s="167" t="s">
        <v>508</v>
      </c>
      <c r="O22" s="167">
        <f>IF(E8="درام5100",2,0)</f>
        <v>0</v>
      </c>
      <c r="P22" s="168">
        <f>O22*$F$8</f>
        <v>0</v>
      </c>
      <c r="Q22" s="158">
        <f>P22*$C$8</f>
        <v>0</v>
      </c>
      <c r="R22" s="158">
        <f>7.5*Q22</f>
        <v>0</v>
      </c>
      <c r="S22" s="125" t="s">
        <v>496</v>
      </c>
      <c r="T22" s="159"/>
      <c r="U22" s="145"/>
    </row>
    <row r="23" spans="1:29" ht="14.25" customHeight="1" x14ac:dyDescent="0.2">
      <c r="A23" s="290"/>
      <c r="B23" s="296"/>
      <c r="C23" s="296"/>
      <c r="D23" s="290"/>
      <c r="E23" s="337"/>
      <c r="F23" s="348"/>
      <c r="G23" s="296"/>
      <c r="H23" s="169"/>
      <c r="I23" s="170" t="s">
        <v>526</v>
      </c>
      <c r="J23" s="169"/>
      <c r="K23" s="169"/>
      <c r="L23" s="72">
        <v>2</v>
      </c>
      <c r="M23" s="243" t="s">
        <v>526</v>
      </c>
      <c r="N23" s="132" t="str">
        <f>IF(B8=30,"1.5x1000x4000",IF(B8=25,"1.5x1250x2500",IF(B8=20,"1.5x1000x2000",IF(B8=15,"1.5x1000x1500"))))</f>
        <v>1.5x1000x1500</v>
      </c>
      <c r="O23" s="129">
        <v>2</v>
      </c>
      <c r="P23" s="129">
        <f>O23*$F$8</f>
        <v>2</v>
      </c>
      <c r="Q23" s="150">
        <f>P23*$C$8</f>
        <v>4</v>
      </c>
      <c r="R23" s="132">
        <f>(IF(B8=30,"41.6",IF(B8=25,"28.9",IF(B8=20,"18.5",IF(B8=15,"10.4")))))*Q23</f>
        <v>41.6</v>
      </c>
      <c r="S23" s="130" t="s">
        <v>496</v>
      </c>
      <c r="T23" s="133"/>
      <c r="U23" s="145"/>
    </row>
    <row r="24" spans="1:29" ht="14.25" customHeight="1" x14ac:dyDescent="0.2">
      <c r="A24" s="290"/>
      <c r="B24" s="296"/>
      <c r="C24" s="296"/>
      <c r="D24" s="290"/>
      <c r="E24" s="337"/>
      <c r="F24" s="348"/>
      <c r="G24" s="296"/>
      <c r="H24" s="72" t="s">
        <v>44</v>
      </c>
      <c r="I24" s="170" t="s">
        <v>527</v>
      </c>
      <c r="J24" s="72" t="s">
        <v>44</v>
      </c>
      <c r="K24" s="72" t="s">
        <v>44</v>
      </c>
      <c r="L24" s="72">
        <v>3</v>
      </c>
      <c r="M24" s="243" t="s">
        <v>527</v>
      </c>
      <c r="N24" s="128" t="s">
        <v>528</v>
      </c>
      <c r="O24" s="129" t="str">
        <f>IF((AND(B8=30,E8=3400)),"12",IF((AND(B8=25,E8=3400)),"10",IF((AND(B8=20,E8=3400)),"8",IF((AND(B8=15,E8=3400)),"6",IF((AND(B8=30,E8=5100)),"36",IF((AND(B8=25,E8=5100)),"30",IF((AND(B8=20,E8=5100)),"24",IF((AND(B8=15,E8=5100)),"18"))))))))</f>
        <v>6</v>
      </c>
      <c r="P24" s="129">
        <f t="shared" si="1"/>
        <v>6</v>
      </c>
      <c r="Q24" s="150">
        <f t="shared" si="2"/>
        <v>12</v>
      </c>
      <c r="R24" s="150">
        <f>1.3*Q24</f>
        <v>15.600000000000001</v>
      </c>
      <c r="S24" s="130" t="s">
        <v>496</v>
      </c>
      <c r="T24" s="133"/>
      <c r="U24" s="145"/>
      <c r="V24" s="146"/>
      <c r="W24" s="147"/>
      <c r="X24" s="146"/>
      <c r="Y24" s="146"/>
      <c r="Z24" s="146"/>
      <c r="AA24" s="146"/>
      <c r="AB24" s="146"/>
      <c r="AC24" s="148"/>
    </row>
    <row r="25" spans="1:29" ht="14.25" customHeight="1" x14ac:dyDescent="0.2">
      <c r="A25" s="290"/>
      <c r="B25" s="296"/>
      <c r="C25" s="296"/>
      <c r="D25" s="290"/>
      <c r="E25" s="337"/>
      <c r="F25" s="348"/>
      <c r="G25" s="296"/>
      <c r="H25" s="72" t="s">
        <v>44</v>
      </c>
      <c r="I25" s="170" t="s">
        <v>529</v>
      </c>
      <c r="J25" s="72" t="s">
        <v>44</v>
      </c>
      <c r="K25" s="72" t="s">
        <v>44</v>
      </c>
      <c r="L25" s="72">
        <v>4</v>
      </c>
      <c r="M25" s="243" t="s">
        <v>529</v>
      </c>
      <c r="N25" s="128" t="s">
        <v>530</v>
      </c>
      <c r="O25" s="129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P25" s="129">
        <f t="shared" si="1"/>
        <v>6</v>
      </c>
      <c r="Q25" s="129">
        <f t="shared" si="2"/>
        <v>12</v>
      </c>
      <c r="R25" s="129">
        <f>2.6*Q25</f>
        <v>31.200000000000003</v>
      </c>
      <c r="S25" s="130" t="s">
        <v>496</v>
      </c>
      <c r="T25" s="133"/>
      <c r="U25" s="145"/>
      <c r="V25" s="146"/>
      <c r="W25" s="147"/>
      <c r="X25" s="146"/>
      <c r="Y25" s="146"/>
      <c r="Z25" s="146"/>
      <c r="AA25" s="146"/>
      <c r="AB25" s="146"/>
      <c r="AC25" s="148"/>
    </row>
    <row r="26" spans="1:29" ht="14.25" customHeight="1" x14ac:dyDescent="0.2">
      <c r="A26" s="291"/>
      <c r="B26" s="297"/>
      <c r="C26" s="297"/>
      <c r="D26" s="291"/>
      <c r="E26" s="303"/>
      <c r="F26" s="299"/>
      <c r="G26" s="297"/>
      <c r="H26" s="72" t="s">
        <v>44</v>
      </c>
      <c r="I26" s="170" t="s">
        <v>531</v>
      </c>
      <c r="J26" s="72" t="s">
        <v>44</v>
      </c>
      <c r="K26" s="72" t="s">
        <v>44</v>
      </c>
      <c r="L26" s="72">
        <v>5</v>
      </c>
      <c r="M26" s="243" t="s">
        <v>531</v>
      </c>
      <c r="N26" s="132" t="str">
        <f>IF(B8=30,"1x32x9600",IF(B8=25,"1x32x8000",IF(B8=20,"1x32x6500",IF(B8=15,"1x32x5000"))))</f>
        <v>1x32x5000</v>
      </c>
      <c r="O26" s="129">
        <f>IF(E8="درام5100",6,4)</f>
        <v>4</v>
      </c>
      <c r="P26" s="129">
        <f t="shared" si="1"/>
        <v>4</v>
      </c>
      <c r="Q26" s="129">
        <f t="shared" si="2"/>
        <v>8</v>
      </c>
      <c r="R26" s="129">
        <f>(IF(B8=30,"2.4",IF(B8=25,"2",IF(B8=20,"1.6",IF(B8=15,"1.2")))))*Q26</f>
        <v>9.6</v>
      </c>
      <c r="S26" s="170" t="s">
        <v>496</v>
      </c>
      <c r="T26" s="171"/>
      <c r="U26" s="145"/>
      <c r="V26" s="146"/>
      <c r="W26" s="147"/>
      <c r="X26" s="146"/>
      <c r="Y26" s="146"/>
      <c r="Z26" s="146"/>
      <c r="AA26" s="146"/>
      <c r="AB26" s="146"/>
      <c r="AC26" s="172"/>
    </row>
    <row r="27" spans="1:29" x14ac:dyDescent="0.2">
      <c r="U27" s="54"/>
      <c r="V27" s="54"/>
      <c r="W27" s="54"/>
      <c r="X27" s="54"/>
      <c r="Y27" s="54"/>
      <c r="Z27" s="54"/>
      <c r="AA27" s="54"/>
      <c r="AB27" s="54"/>
      <c r="AC27" s="54"/>
    </row>
    <row r="29" spans="1:29" x14ac:dyDescent="0.2">
      <c r="P29" s="173"/>
      <c r="Q29" s="173"/>
      <c r="R29" s="173"/>
      <c r="S29" s="173"/>
    </row>
    <row r="37" spans="1:20" ht="19.5" x14ac:dyDescent="0.2">
      <c r="A37" s="259" t="s">
        <v>0</v>
      </c>
      <c r="B37" s="260"/>
      <c r="C37" s="260"/>
      <c r="D37" s="11"/>
      <c r="E37" s="12"/>
      <c r="F37" s="12" t="s">
        <v>14</v>
      </c>
      <c r="G37" s="13"/>
      <c r="H37" s="12"/>
      <c r="I37" s="12" t="s">
        <v>13</v>
      </c>
      <c r="J37" s="12"/>
      <c r="K37" s="13"/>
      <c r="L37" s="11"/>
      <c r="M37" s="12"/>
      <c r="N37" s="6" t="s">
        <v>1</v>
      </c>
      <c r="O37" s="12"/>
      <c r="P37" s="12"/>
      <c r="Q37" s="12"/>
      <c r="R37" s="21"/>
      <c r="S37" s="21"/>
      <c r="T37" s="17" t="s">
        <v>15</v>
      </c>
    </row>
    <row r="38" spans="1:20" ht="50.25" customHeight="1" x14ac:dyDescent="0.2">
      <c r="A38" s="20" t="s">
        <v>2</v>
      </c>
      <c r="B38" s="20" t="s">
        <v>492</v>
      </c>
      <c r="C38" s="3" t="s">
        <v>3</v>
      </c>
      <c r="D38" s="14" t="s">
        <v>4</v>
      </c>
      <c r="E38" s="15" t="s">
        <v>5</v>
      </c>
      <c r="F38" s="14" t="s">
        <v>6</v>
      </c>
      <c r="G38" s="14" t="s">
        <v>3</v>
      </c>
      <c r="H38" s="3" t="s">
        <v>10</v>
      </c>
      <c r="I38" s="3" t="s">
        <v>5</v>
      </c>
      <c r="J38" s="20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6" t="s">
        <v>3</v>
      </c>
      <c r="R38" s="16" t="s">
        <v>17</v>
      </c>
      <c r="S38" s="16" t="s">
        <v>18</v>
      </c>
      <c r="T38" s="3" t="s">
        <v>16</v>
      </c>
    </row>
    <row r="39" spans="1:20" ht="12.95" customHeight="1" x14ac:dyDescent="0.2">
      <c r="A39" s="357" t="s">
        <v>335</v>
      </c>
      <c r="B39" s="360">
        <v>15</v>
      </c>
      <c r="C39" s="357" t="s">
        <v>19</v>
      </c>
      <c r="D39" s="357" t="s">
        <v>258</v>
      </c>
      <c r="E39" s="360">
        <v>3400</v>
      </c>
      <c r="F39" s="298" t="s">
        <v>19</v>
      </c>
      <c r="G39" s="295">
        <f>C39*F39</f>
        <v>1</v>
      </c>
      <c r="H39" s="174" t="s">
        <v>44</v>
      </c>
      <c r="I39" s="174" t="s">
        <v>44</v>
      </c>
      <c r="J39" s="174" t="s">
        <v>44</v>
      </c>
      <c r="K39" s="174" t="s">
        <v>44</v>
      </c>
      <c r="L39" s="72">
        <v>6</v>
      </c>
      <c r="M39" s="170" t="s">
        <v>532</v>
      </c>
      <c r="N39" s="128" t="s">
        <v>44</v>
      </c>
      <c r="O39" s="129">
        <f>O26</f>
        <v>4</v>
      </c>
      <c r="P39" s="129">
        <f>O39*$F$39</f>
        <v>4</v>
      </c>
      <c r="Q39" s="175">
        <f>P39*$C$39</f>
        <v>4</v>
      </c>
      <c r="R39" s="175">
        <f>Q39</f>
        <v>4</v>
      </c>
      <c r="S39" s="176" t="s">
        <v>518</v>
      </c>
      <c r="T39" s="52"/>
    </row>
    <row r="40" spans="1:20" ht="12.95" customHeight="1" x14ac:dyDescent="0.2">
      <c r="A40" s="358"/>
      <c r="B40" s="361"/>
      <c r="C40" s="358"/>
      <c r="D40" s="358"/>
      <c r="E40" s="361"/>
      <c r="F40" s="348"/>
      <c r="G40" s="296"/>
      <c r="H40" s="49" t="s">
        <v>44</v>
      </c>
      <c r="I40" s="126" t="s">
        <v>44</v>
      </c>
      <c r="J40" s="49" t="s">
        <v>44</v>
      </c>
      <c r="K40" s="49" t="s">
        <v>44</v>
      </c>
      <c r="L40" s="106">
        <v>7</v>
      </c>
      <c r="M40" s="177" t="s">
        <v>533</v>
      </c>
      <c r="N40" s="128" t="s">
        <v>534</v>
      </c>
      <c r="O40" s="129">
        <f>O39</f>
        <v>4</v>
      </c>
      <c r="P40" s="129">
        <f t="shared" ref="P40:P57" si="4">O40*$F$39</f>
        <v>4</v>
      </c>
      <c r="Q40" s="158">
        <f t="shared" ref="Q40:Q57" si="5">P40*$C$39</f>
        <v>4</v>
      </c>
      <c r="R40" s="158">
        <f>Q40</f>
        <v>4</v>
      </c>
      <c r="S40" s="125" t="s">
        <v>518</v>
      </c>
      <c r="T40" s="52"/>
    </row>
    <row r="41" spans="1:20" ht="12.95" customHeight="1" x14ac:dyDescent="0.2">
      <c r="A41" s="358"/>
      <c r="B41" s="361"/>
      <c r="C41" s="358"/>
      <c r="D41" s="358"/>
      <c r="E41" s="361"/>
      <c r="F41" s="348"/>
      <c r="G41" s="296"/>
      <c r="H41" s="49" t="s">
        <v>44</v>
      </c>
      <c r="I41" s="126" t="s">
        <v>44</v>
      </c>
      <c r="J41" s="49" t="s">
        <v>44</v>
      </c>
      <c r="K41" s="49" t="s">
        <v>44</v>
      </c>
      <c r="L41" s="72">
        <v>8</v>
      </c>
      <c r="M41" s="170" t="s">
        <v>535</v>
      </c>
      <c r="N41" s="128" t="s">
        <v>534</v>
      </c>
      <c r="O41" s="129">
        <f>O40</f>
        <v>4</v>
      </c>
      <c r="P41" s="129">
        <f t="shared" si="4"/>
        <v>4</v>
      </c>
      <c r="Q41" s="150">
        <f t="shared" si="5"/>
        <v>4</v>
      </c>
      <c r="R41" s="150">
        <f>Q41</f>
        <v>4</v>
      </c>
      <c r="S41" s="130" t="s">
        <v>518</v>
      </c>
      <c r="T41" s="52"/>
    </row>
    <row r="42" spans="1:20" ht="12.95" customHeight="1" thickBot="1" x14ac:dyDescent="0.25">
      <c r="A42" s="358"/>
      <c r="B42" s="361"/>
      <c r="C42" s="358"/>
      <c r="D42" s="358"/>
      <c r="E42" s="361"/>
      <c r="F42" s="348"/>
      <c r="G42" s="296"/>
      <c r="H42" s="178" t="s">
        <v>44</v>
      </c>
      <c r="I42" s="178" t="s">
        <v>44</v>
      </c>
      <c r="J42" s="178" t="s">
        <v>44</v>
      </c>
      <c r="K42" s="178" t="s">
        <v>44</v>
      </c>
      <c r="L42" s="134">
        <v>9</v>
      </c>
      <c r="M42" s="163" t="s">
        <v>536</v>
      </c>
      <c r="N42" s="135" t="s">
        <v>537</v>
      </c>
      <c r="O42" s="136" t="str">
        <f>J8</f>
        <v>6</v>
      </c>
      <c r="P42" s="136">
        <f t="shared" si="4"/>
        <v>6</v>
      </c>
      <c r="Q42" s="155">
        <f t="shared" si="5"/>
        <v>6</v>
      </c>
      <c r="R42" s="155">
        <f>Q42</f>
        <v>6</v>
      </c>
      <c r="S42" s="137" t="s">
        <v>518</v>
      </c>
      <c r="T42" s="62"/>
    </row>
    <row r="43" spans="1:20" ht="12.95" customHeight="1" x14ac:dyDescent="0.2">
      <c r="A43" s="358"/>
      <c r="B43" s="361"/>
      <c r="C43" s="358"/>
      <c r="D43" s="358"/>
      <c r="E43" s="361"/>
      <c r="F43" s="348"/>
      <c r="G43" s="296"/>
      <c r="H43" s="349" t="s">
        <v>373</v>
      </c>
      <c r="I43" s="351" t="s">
        <v>300</v>
      </c>
      <c r="J43" s="351">
        <v>1</v>
      </c>
      <c r="K43" s="351">
        <f>J43*G39</f>
        <v>1</v>
      </c>
      <c r="L43" s="106">
        <v>1</v>
      </c>
      <c r="M43" s="177" t="s">
        <v>538</v>
      </c>
      <c r="N43" s="167" t="s">
        <v>539</v>
      </c>
      <c r="O43" s="44" t="str">
        <f>IF(B39=30,"24",IF(B39=20,"16",IF(B39=25,"20",IF(B39=15,"12"))))</f>
        <v>12</v>
      </c>
      <c r="P43" s="157">
        <f t="shared" si="4"/>
        <v>12</v>
      </c>
      <c r="Q43" s="158">
        <f t="shared" si="5"/>
        <v>12</v>
      </c>
      <c r="R43" s="158">
        <f t="shared" ref="R43:R56" si="6">Q43</f>
        <v>12</v>
      </c>
      <c r="S43" s="125" t="s">
        <v>518</v>
      </c>
      <c r="T43" s="64"/>
    </row>
    <row r="44" spans="1:20" ht="12.95" customHeight="1" x14ac:dyDescent="0.2">
      <c r="A44" s="358"/>
      <c r="B44" s="361"/>
      <c r="C44" s="358"/>
      <c r="D44" s="358"/>
      <c r="E44" s="361"/>
      <c r="F44" s="348"/>
      <c r="G44" s="296"/>
      <c r="H44" s="349"/>
      <c r="I44" s="351"/>
      <c r="J44" s="351"/>
      <c r="K44" s="351"/>
      <c r="L44" s="72">
        <v>2</v>
      </c>
      <c r="M44" s="170" t="s">
        <v>540</v>
      </c>
      <c r="N44" s="128" t="s">
        <v>541</v>
      </c>
      <c r="O44" s="129" t="str">
        <f>O43</f>
        <v>12</v>
      </c>
      <c r="P44" s="129">
        <f t="shared" si="4"/>
        <v>12</v>
      </c>
      <c r="Q44" s="150">
        <f t="shared" si="5"/>
        <v>12</v>
      </c>
      <c r="R44" s="150">
        <f t="shared" si="6"/>
        <v>12</v>
      </c>
      <c r="S44" s="130" t="s">
        <v>518</v>
      </c>
      <c r="T44" s="52"/>
    </row>
    <row r="45" spans="1:20" ht="12.95" customHeight="1" x14ac:dyDescent="0.2">
      <c r="A45" s="358"/>
      <c r="B45" s="361"/>
      <c r="C45" s="358"/>
      <c r="D45" s="358"/>
      <c r="E45" s="361"/>
      <c r="F45" s="348"/>
      <c r="G45" s="296"/>
      <c r="H45" s="349"/>
      <c r="I45" s="351"/>
      <c r="J45" s="351"/>
      <c r="K45" s="351"/>
      <c r="L45" s="106">
        <v>3</v>
      </c>
      <c r="M45" s="170" t="s">
        <v>542</v>
      </c>
      <c r="N45" s="128" t="s">
        <v>543</v>
      </c>
      <c r="O45" s="129" t="str">
        <f>O44</f>
        <v>12</v>
      </c>
      <c r="P45" s="129">
        <f t="shared" si="4"/>
        <v>12</v>
      </c>
      <c r="Q45" s="179">
        <f t="shared" si="5"/>
        <v>12</v>
      </c>
      <c r="R45" s="179">
        <f t="shared" si="6"/>
        <v>12</v>
      </c>
      <c r="S45" s="123" t="s">
        <v>518</v>
      </c>
      <c r="T45" s="52"/>
    </row>
    <row r="46" spans="1:20" ht="12.95" customHeight="1" x14ac:dyDescent="0.2">
      <c r="A46" s="358"/>
      <c r="B46" s="361"/>
      <c r="C46" s="358"/>
      <c r="D46" s="358"/>
      <c r="E46" s="361"/>
      <c r="F46" s="348"/>
      <c r="G46" s="296"/>
      <c r="H46" s="349"/>
      <c r="I46" s="351"/>
      <c r="J46" s="351"/>
      <c r="K46" s="351"/>
      <c r="L46" s="72">
        <v>4</v>
      </c>
      <c r="M46" s="177" t="s">
        <v>544</v>
      </c>
      <c r="N46" s="167" t="s">
        <v>305</v>
      </c>
      <c r="O46" s="157" t="str">
        <f>O24</f>
        <v>6</v>
      </c>
      <c r="P46" s="157">
        <f t="shared" si="4"/>
        <v>6</v>
      </c>
      <c r="Q46" s="150">
        <f t="shared" si="5"/>
        <v>6</v>
      </c>
      <c r="R46" s="150">
        <f t="shared" si="6"/>
        <v>6</v>
      </c>
      <c r="S46" s="130" t="s">
        <v>518</v>
      </c>
      <c r="T46" s="52"/>
    </row>
    <row r="47" spans="1:20" ht="12.95" customHeight="1" x14ac:dyDescent="0.2">
      <c r="A47" s="358"/>
      <c r="B47" s="361"/>
      <c r="C47" s="358"/>
      <c r="D47" s="358"/>
      <c r="E47" s="361"/>
      <c r="F47" s="348"/>
      <c r="G47" s="296"/>
      <c r="H47" s="349"/>
      <c r="I47" s="351"/>
      <c r="J47" s="351"/>
      <c r="K47" s="351"/>
      <c r="L47" s="106">
        <v>5</v>
      </c>
      <c r="M47" s="170" t="s">
        <v>545</v>
      </c>
      <c r="N47" s="128" t="s">
        <v>546</v>
      </c>
      <c r="O47" s="129" t="str">
        <f>O46</f>
        <v>6</v>
      </c>
      <c r="P47" s="129">
        <f t="shared" si="4"/>
        <v>6</v>
      </c>
      <c r="Q47" s="158">
        <f t="shared" si="5"/>
        <v>6</v>
      </c>
      <c r="R47" s="158">
        <f t="shared" si="6"/>
        <v>6</v>
      </c>
      <c r="S47" s="125" t="s">
        <v>518</v>
      </c>
      <c r="T47" s="52"/>
    </row>
    <row r="48" spans="1:20" ht="12.95" customHeight="1" x14ac:dyDescent="0.2">
      <c r="A48" s="358"/>
      <c r="B48" s="361"/>
      <c r="C48" s="358"/>
      <c r="D48" s="358"/>
      <c r="E48" s="361"/>
      <c r="F48" s="348"/>
      <c r="G48" s="296"/>
      <c r="H48" s="349"/>
      <c r="I48" s="351"/>
      <c r="J48" s="351"/>
      <c r="K48" s="351"/>
      <c r="L48" s="72">
        <v>6</v>
      </c>
      <c r="M48" s="170" t="s">
        <v>547</v>
      </c>
      <c r="N48" s="128" t="s">
        <v>302</v>
      </c>
      <c r="O48" s="129">
        <f>J8*11</f>
        <v>66</v>
      </c>
      <c r="P48" s="129">
        <f t="shared" si="4"/>
        <v>66</v>
      </c>
      <c r="Q48" s="158">
        <f t="shared" si="5"/>
        <v>66</v>
      </c>
      <c r="R48" s="158">
        <f t="shared" si="6"/>
        <v>66</v>
      </c>
      <c r="S48" s="125" t="s">
        <v>518</v>
      </c>
      <c r="T48" s="52"/>
    </row>
    <row r="49" spans="1:20" ht="12.95" customHeight="1" x14ac:dyDescent="0.2">
      <c r="A49" s="358"/>
      <c r="B49" s="361"/>
      <c r="C49" s="358"/>
      <c r="D49" s="358"/>
      <c r="E49" s="361"/>
      <c r="F49" s="348"/>
      <c r="G49" s="296"/>
      <c r="H49" s="349"/>
      <c r="I49" s="351"/>
      <c r="J49" s="351"/>
      <c r="K49" s="351"/>
      <c r="L49" s="106">
        <v>7</v>
      </c>
      <c r="M49" s="170" t="s">
        <v>548</v>
      </c>
      <c r="N49" s="128" t="s">
        <v>546</v>
      </c>
      <c r="O49" s="129">
        <f>O48</f>
        <v>66</v>
      </c>
      <c r="P49" s="129">
        <f t="shared" si="4"/>
        <v>66</v>
      </c>
      <c r="Q49" s="150">
        <f t="shared" si="5"/>
        <v>66</v>
      </c>
      <c r="R49" s="150">
        <f t="shared" si="6"/>
        <v>66</v>
      </c>
      <c r="S49" s="130" t="s">
        <v>518</v>
      </c>
      <c r="T49" s="52"/>
    </row>
    <row r="50" spans="1:20" ht="12.95" customHeight="1" x14ac:dyDescent="0.2">
      <c r="A50" s="358"/>
      <c r="B50" s="361"/>
      <c r="C50" s="358"/>
      <c r="D50" s="358"/>
      <c r="E50" s="361"/>
      <c r="F50" s="348"/>
      <c r="G50" s="296"/>
      <c r="H50" s="349"/>
      <c r="I50" s="351"/>
      <c r="J50" s="351"/>
      <c r="K50" s="351"/>
      <c r="L50" s="72">
        <v>8</v>
      </c>
      <c r="M50" s="170" t="s">
        <v>549</v>
      </c>
      <c r="N50" s="128" t="s">
        <v>424</v>
      </c>
      <c r="O50" s="129">
        <f>O49</f>
        <v>66</v>
      </c>
      <c r="P50" s="129">
        <f t="shared" si="4"/>
        <v>66</v>
      </c>
      <c r="Q50" s="150">
        <f t="shared" si="5"/>
        <v>66</v>
      </c>
      <c r="R50" s="150">
        <f t="shared" si="6"/>
        <v>66</v>
      </c>
      <c r="S50" s="130" t="s">
        <v>518</v>
      </c>
      <c r="T50" s="52"/>
    </row>
    <row r="51" spans="1:20" ht="12.95" customHeight="1" x14ac:dyDescent="0.2">
      <c r="A51" s="358"/>
      <c r="B51" s="361"/>
      <c r="C51" s="358"/>
      <c r="D51" s="358"/>
      <c r="E51" s="361"/>
      <c r="F51" s="348"/>
      <c r="G51" s="296"/>
      <c r="H51" s="349"/>
      <c r="I51" s="351"/>
      <c r="J51" s="351"/>
      <c r="K51" s="351"/>
      <c r="L51" s="106">
        <v>9</v>
      </c>
      <c r="M51" s="170" t="s">
        <v>301</v>
      </c>
      <c r="N51" s="128" t="s">
        <v>550</v>
      </c>
      <c r="O51" s="129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15</v>
      </c>
      <c r="P51" s="129">
        <f t="shared" si="4"/>
        <v>15</v>
      </c>
      <c r="Q51" s="150">
        <f t="shared" si="5"/>
        <v>15</v>
      </c>
      <c r="R51" s="150">
        <f t="shared" si="6"/>
        <v>15</v>
      </c>
      <c r="S51" s="130" t="s">
        <v>518</v>
      </c>
      <c r="T51" s="52"/>
    </row>
    <row r="52" spans="1:20" ht="12.95" customHeight="1" x14ac:dyDescent="0.2">
      <c r="A52" s="358"/>
      <c r="B52" s="361"/>
      <c r="C52" s="358"/>
      <c r="D52" s="358"/>
      <c r="E52" s="361"/>
      <c r="F52" s="348"/>
      <c r="G52" s="296"/>
      <c r="H52" s="349"/>
      <c r="I52" s="351"/>
      <c r="J52" s="351"/>
      <c r="K52" s="351"/>
      <c r="L52" s="72">
        <v>10</v>
      </c>
      <c r="M52" s="170" t="s">
        <v>303</v>
      </c>
      <c r="N52" s="128" t="s">
        <v>551</v>
      </c>
      <c r="O52" s="129" t="str">
        <f>O51</f>
        <v>15</v>
      </c>
      <c r="P52" s="129">
        <f t="shared" si="4"/>
        <v>15</v>
      </c>
      <c r="Q52" s="150">
        <f t="shared" si="5"/>
        <v>15</v>
      </c>
      <c r="R52" s="150">
        <f t="shared" si="6"/>
        <v>15</v>
      </c>
      <c r="S52" s="130" t="s">
        <v>518</v>
      </c>
      <c r="T52" s="52"/>
    </row>
    <row r="53" spans="1:20" ht="12.95" customHeight="1" x14ac:dyDescent="0.2">
      <c r="A53" s="358"/>
      <c r="B53" s="361"/>
      <c r="C53" s="358"/>
      <c r="D53" s="358"/>
      <c r="E53" s="361"/>
      <c r="F53" s="348"/>
      <c r="G53" s="296"/>
      <c r="H53" s="349"/>
      <c r="I53" s="351"/>
      <c r="J53" s="351"/>
      <c r="K53" s="351"/>
      <c r="L53" s="106">
        <v>11</v>
      </c>
      <c r="M53" s="170" t="s">
        <v>552</v>
      </c>
      <c r="N53" s="128" t="s">
        <v>553</v>
      </c>
      <c r="O53" s="129" t="str">
        <f>O51</f>
        <v>15</v>
      </c>
      <c r="P53" s="129">
        <f t="shared" si="4"/>
        <v>15</v>
      </c>
      <c r="Q53" s="180">
        <f t="shared" si="5"/>
        <v>15</v>
      </c>
      <c r="R53" s="180">
        <f t="shared" si="6"/>
        <v>15</v>
      </c>
      <c r="S53" s="181" t="s">
        <v>518</v>
      </c>
      <c r="T53" s="52"/>
    </row>
    <row r="54" spans="1:20" ht="12.95" customHeight="1" x14ac:dyDescent="0.2">
      <c r="A54" s="358"/>
      <c r="B54" s="361"/>
      <c r="C54" s="358"/>
      <c r="D54" s="358"/>
      <c r="E54" s="361"/>
      <c r="F54" s="348"/>
      <c r="G54" s="296"/>
      <c r="H54" s="349"/>
      <c r="I54" s="351"/>
      <c r="J54" s="351"/>
      <c r="K54" s="351"/>
      <c r="L54" s="72">
        <v>12</v>
      </c>
      <c r="M54" s="170" t="s">
        <v>554</v>
      </c>
      <c r="N54" s="128" t="s">
        <v>555</v>
      </c>
      <c r="O54" s="129">
        <f>J8*7</f>
        <v>42</v>
      </c>
      <c r="P54" s="180">
        <f t="shared" si="4"/>
        <v>42</v>
      </c>
      <c r="Q54" s="150">
        <f t="shared" si="5"/>
        <v>42</v>
      </c>
      <c r="R54" s="150">
        <f t="shared" si="6"/>
        <v>42</v>
      </c>
      <c r="S54" s="130" t="s">
        <v>518</v>
      </c>
      <c r="T54" s="182"/>
    </row>
    <row r="55" spans="1:20" ht="12.95" customHeight="1" x14ac:dyDescent="0.2">
      <c r="A55" s="358"/>
      <c r="B55" s="361"/>
      <c r="C55" s="358"/>
      <c r="D55" s="358"/>
      <c r="E55" s="361"/>
      <c r="F55" s="348"/>
      <c r="G55" s="296"/>
      <c r="H55" s="349"/>
      <c r="I55" s="351"/>
      <c r="J55" s="351"/>
      <c r="K55" s="351"/>
      <c r="L55" s="106">
        <v>13</v>
      </c>
      <c r="M55" s="170" t="s">
        <v>556</v>
      </c>
      <c r="N55" s="128" t="s">
        <v>302</v>
      </c>
      <c r="O55" s="129">
        <v>4</v>
      </c>
      <c r="P55" s="129">
        <f t="shared" si="4"/>
        <v>4</v>
      </c>
      <c r="Q55" s="150">
        <f t="shared" si="5"/>
        <v>4</v>
      </c>
      <c r="R55" s="150">
        <f t="shared" si="6"/>
        <v>4</v>
      </c>
      <c r="S55" s="130" t="s">
        <v>518</v>
      </c>
      <c r="T55" s="182"/>
    </row>
    <row r="56" spans="1:20" ht="12.95" customHeight="1" x14ac:dyDescent="0.2">
      <c r="A56" s="358"/>
      <c r="B56" s="361"/>
      <c r="C56" s="358"/>
      <c r="D56" s="358"/>
      <c r="E56" s="361"/>
      <c r="F56" s="348"/>
      <c r="G56" s="296"/>
      <c r="H56" s="349"/>
      <c r="I56" s="351"/>
      <c r="J56" s="351"/>
      <c r="K56" s="351"/>
      <c r="L56" s="72">
        <v>14</v>
      </c>
      <c r="M56" s="170" t="s">
        <v>557</v>
      </c>
      <c r="N56" s="128" t="s">
        <v>85</v>
      </c>
      <c r="O56" s="129">
        <v>4</v>
      </c>
      <c r="P56" s="129">
        <f t="shared" si="4"/>
        <v>4</v>
      </c>
      <c r="Q56" s="150">
        <f t="shared" si="5"/>
        <v>4</v>
      </c>
      <c r="R56" s="150">
        <f t="shared" si="6"/>
        <v>4</v>
      </c>
      <c r="S56" s="130" t="s">
        <v>518</v>
      </c>
      <c r="T56" s="182"/>
    </row>
    <row r="57" spans="1:20" ht="12.95" customHeight="1" x14ac:dyDescent="0.2">
      <c r="A57" s="359"/>
      <c r="B57" s="362"/>
      <c r="C57" s="359"/>
      <c r="D57" s="359"/>
      <c r="E57" s="362"/>
      <c r="F57" s="299"/>
      <c r="G57" s="297"/>
      <c r="H57" s="350"/>
      <c r="I57" s="352"/>
      <c r="J57" s="352"/>
      <c r="K57" s="352"/>
      <c r="L57" s="106">
        <v>15</v>
      </c>
      <c r="M57" s="170" t="s">
        <v>558</v>
      </c>
      <c r="N57" s="132" t="str">
        <f>IF(B8=30,"3x150x10000",IF(B8=25,"3x150x8500",IF(B8=20,"3x150x7000",IF(B8=15,"3x150x5500"))))</f>
        <v>3x150x5500</v>
      </c>
      <c r="O57" s="129">
        <v>1</v>
      </c>
      <c r="P57" s="129">
        <f t="shared" si="4"/>
        <v>1</v>
      </c>
      <c r="Q57" s="150">
        <f t="shared" si="5"/>
        <v>1</v>
      </c>
      <c r="R57" s="132">
        <f>IF(B8=30,"6.75",IF(B8=25,"5.73",IF(B8=20,"4.72",IF(B8=15,"3.71"))))*Q57</f>
        <v>3.71</v>
      </c>
      <c r="S57" s="130" t="s">
        <v>496</v>
      </c>
      <c r="T57" s="182"/>
    </row>
    <row r="72" spans="1:1" hidden="1" x14ac:dyDescent="0.2">
      <c r="A72" t="s">
        <v>559</v>
      </c>
    </row>
    <row r="73" spans="1:1" hidden="1" x14ac:dyDescent="0.2">
      <c r="A73" t="s">
        <v>560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S1" sqref="S1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4" customWidth="1"/>
    <col min="6" max="6" width="5.375" customWidth="1"/>
    <col min="7" max="7" width="5.125" customWidth="1"/>
    <col min="8" max="8" width="6.75" customWidth="1"/>
    <col min="9" max="9" width="6.12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259" t="s">
        <v>0</v>
      </c>
      <c r="B6" s="260"/>
      <c r="C6" s="26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49.15" customHeight="1" x14ac:dyDescent="0.2">
      <c r="A7" s="20" t="s">
        <v>2</v>
      </c>
      <c r="B7" s="20" t="s">
        <v>492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4.25" customHeight="1" x14ac:dyDescent="0.2">
      <c r="A8" s="272" t="s">
        <v>335</v>
      </c>
      <c r="B8" s="328">
        <f>'درام روتاری'!B8</f>
        <v>15</v>
      </c>
      <c r="C8" s="295">
        <v>2</v>
      </c>
      <c r="D8" s="261" t="s">
        <v>250</v>
      </c>
      <c r="E8" s="345" t="s">
        <v>561</v>
      </c>
      <c r="F8" s="273" t="s">
        <v>19</v>
      </c>
      <c r="G8" s="270">
        <f>F8*C8</f>
        <v>2</v>
      </c>
      <c r="H8" s="261" t="s">
        <v>250</v>
      </c>
      <c r="I8" s="261" t="s">
        <v>561</v>
      </c>
      <c r="J8" s="261">
        <v>1</v>
      </c>
      <c r="K8" s="261">
        <v>2</v>
      </c>
      <c r="L8" s="47" t="s">
        <v>19</v>
      </c>
      <c r="M8" s="183" t="s">
        <v>562</v>
      </c>
      <c r="N8" s="73" t="s">
        <v>563</v>
      </c>
      <c r="O8" s="74">
        <v>1</v>
      </c>
      <c r="P8" s="184">
        <f>O8*$F$8</f>
        <v>1</v>
      </c>
      <c r="Q8" s="184">
        <f>P8*$C$8</f>
        <v>2</v>
      </c>
      <c r="R8" s="184">
        <f>Q8*5.5</f>
        <v>11</v>
      </c>
      <c r="S8" s="7" t="s">
        <v>496</v>
      </c>
      <c r="T8" s="52"/>
    </row>
    <row r="9" spans="1:20" ht="14.25" customHeight="1" x14ac:dyDescent="0.2">
      <c r="A9" s="263"/>
      <c r="B9" s="329"/>
      <c r="C9" s="296"/>
      <c r="D9" s="261"/>
      <c r="E9" s="345"/>
      <c r="F9" s="273"/>
      <c r="G9" s="373"/>
      <c r="H9" s="261"/>
      <c r="I9" s="261"/>
      <c r="J9" s="261"/>
      <c r="K9" s="261"/>
      <c r="L9" s="47" t="s">
        <v>21</v>
      </c>
      <c r="M9" s="183" t="s">
        <v>261</v>
      </c>
      <c r="N9" s="73" t="s">
        <v>564</v>
      </c>
      <c r="O9" s="74">
        <v>1</v>
      </c>
      <c r="P9" s="184">
        <f t="shared" ref="P9:P18" si="0">O9*$F$8</f>
        <v>1</v>
      </c>
      <c r="Q9" s="74">
        <f t="shared" ref="Q9:Q18" si="1">P9*$C$8</f>
        <v>2</v>
      </c>
      <c r="R9" s="74">
        <f>15.19*Q9</f>
        <v>30.38</v>
      </c>
      <c r="S9" s="7" t="s">
        <v>496</v>
      </c>
      <c r="T9" s="52"/>
    </row>
    <row r="10" spans="1:20" ht="14.25" customHeight="1" x14ac:dyDescent="0.2">
      <c r="A10" s="263"/>
      <c r="B10" s="329"/>
      <c r="C10" s="296"/>
      <c r="D10" s="261"/>
      <c r="E10" s="345"/>
      <c r="F10" s="273"/>
      <c r="G10" s="373"/>
      <c r="H10" s="261"/>
      <c r="I10" s="261"/>
      <c r="J10" s="261"/>
      <c r="K10" s="261"/>
      <c r="L10" s="47" t="s">
        <v>23</v>
      </c>
      <c r="M10" s="183" t="s">
        <v>565</v>
      </c>
      <c r="N10" s="132" t="str">
        <f>IF(B8=30,"4x234x1648",IF(B8=20,"4x234x1192",IF(B8=25,"4x234x1420",IF(B8=15,"4x234x964"))))</f>
        <v>4x234x964</v>
      </c>
      <c r="O10" s="74">
        <v>2</v>
      </c>
      <c r="P10" s="74">
        <f t="shared" si="0"/>
        <v>2</v>
      </c>
      <c r="Q10" s="74">
        <f t="shared" si="1"/>
        <v>4</v>
      </c>
      <c r="R10" s="44">
        <f>(IF(B8=30,"12.1",IF(B8=20,"8.75",IF(B8=25,"10.42",IF(B8=15,"7")))))*Q10</f>
        <v>28</v>
      </c>
      <c r="S10" s="7" t="s">
        <v>496</v>
      </c>
      <c r="T10" s="52"/>
    </row>
    <row r="11" spans="1:20" ht="14.25" customHeight="1" thickBot="1" x14ac:dyDescent="0.25">
      <c r="A11" s="263"/>
      <c r="B11" s="329"/>
      <c r="C11" s="296"/>
      <c r="D11" s="261"/>
      <c r="E11" s="345"/>
      <c r="F11" s="273"/>
      <c r="G11" s="373"/>
      <c r="H11" s="267"/>
      <c r="I11" s="267"/>
      <c r="J11" s="267"/>
      <c r="K11" s="267"/>
      <c r="L11" s="60" t="s">
        <v>26</v>
      </c>
      <c r="M11" s="185" t="s">
        <v>566</v>
      </c>
      <c r="N11" s="79" t="s">
        <v>567</v>
      </c>
      <c r="O11" s="80">
        <v>4</v>
      </c>
      <c r="P11" s="80">
        <f t="shared" si="0"/>
        <v>4</v>
      </c>
      <c r="Q11" s="80">
        <f t="shared" si="1"/>
        <v>8</v>
      </c>
      <c r="R11" s="80">
        <f>0.75*Q11</f>
        <v>6</v>
      </c>
      <c r="S11" s="186" t="s">
        <v>496</v>
      </c>
      <c r="T11" s="62"/>
    </row>
    <row r="12" spans="1:20" ht="14.25" customHeight="1" thickBot="1" x14ac:dyDescent="0.25">
      <c r="A12" s="263"/>
      <c r="B12" s="329"/>
      <c r="C12" s="296"/>
      <c r="D12" s="261"/>
      <c r="E12" s="345"/>
      <c r="F12" s="273"/>
      <c r="G12" s="373"/>
      <c r="H12" s="187" t="s">
        <v>44</v>
      </c>
      <c r="I12" s="187" t="s">
        <v>568</v>
      </c>
      <c r="J12" s="187">
        <v>1</v>
      </c>
      <c r="K12" s="187">
        <v>2</v>
      </c>
      <c r="L12" s="101" t="s">
        <v>19</v>
      </c>
      <c r="M12" s="188" t="s">
        <v>568</v>
      </c>
      <c r="N12" s="189" t="s">
        <v>569</v>
      </c>
      <c r="O12" s="190">
        <v>1</v>
      </c>
      <c r="P12" s="190">
        <f t="shared" si="0"/>
        <v>1</v>
      </c>
      <c r="Q12" s="190">
        <f t="shared" si="1"/>
        <v>2</v>
      </c>
      <c r="R12" s="190">
        <f>Q12</f>
        <v>2</v>
      </c>
      <c r="S12" s="191" t="s">
        <v>518</v>
      </c>
      <c r="T12" s="192"/>
    </row>
    <row r="13" spans="1:20" ht="14.25" customHeight="1" x14ac:dyDescent="0.2">
      <c r="A13" s="263"/>
      <c r="B13" s="329"/>
      <c r="C13" s="296"/>
      <c r="D13" s="261"/>
      <c r="E13" s="345"/>
      <c r="F13" s="273"/>
      <c r="G13" s="373"/>
      <c r="H13" s="299" t="s">
        <v>255</v>
      </c>
      <c r="I13" s="336" t="s">
        <v>300</v>
      </c>
      <c r="J13" s="299">
        <v>1</v>
      </c>
      <c r="K13" s="299">
        <v>2</v>
      </c>
      <c r="L13" s="119" t="s">
        <v>19</v>
      </c>
      <c r="M13" s="193" t="s">
        <v>395</v>
      </c>
      <c r="N13" s="194" t="s">
        <v>570</v>
      </c>
      <c r="O13" s="89">
        <v>2</v>
      </c>
      <c r="P13" s="89">
        <f t="shared" si="0"/>
        <v>2</v>
      </c>
      <c r="Q13" s="89">
        <f t="shared" si="1"/>
        <v>4</v>
      </c>
      <c r="R13" s="89">
        <f t="shared" ref="R13:R18" si="2">Q13</f>
        <v>4</v>
      </c>
      <c r="S13" s="195" t="s">
        <v>518</v>
      </c>
      <c r="T13" s="64"/>
    </row>
    <row r="14" spans="1:20" ht="14.25" customHeight="1" x14ac:dyDescent="0.2">
      <c r="A14" s="263"/>
      <c r="B14" s="329"/>
      <c r="C14" s="296"/>
      <c r="D14" s="261"/>
      <c r="E14" s="345"/>
      <c r="F14" s="273"/>
      <c r="G14" s="373"/>
      <c r="H14" s="273"/>
      <c r="I14" s="345"/>
      <c r="J14" s="273"/>
      <c r="K14" s="273"/>
      <c r="L14" s="47" t="s">
        <v>21</v>
      </c>
      <c r="M14" s="183" t="s">
        <v>396</v>
      </c>
      <c r="N14" s="73" t="s">
        <v>571</v>
      </c>
      <c r="O14" s="74">
        <v>2</v>
      </c>
      <c r="P14" s="74">
        <f t="shared" si="0"/>
        <v>2</v>
      </c>
      <c r="Q14" s="74">
        <f t="shared" si="1"/>
        <v>4</v>
      </c>
      <c r="R14" s="74">
        <f t="shared" si="2"/>
        <v>4</v>
      </c>
      <c r="S14" s="7" t="s">
        <v>518</v>
      </c>
      <c r="T14" s="52"/>
    </row>
    <row r="15" spans="1:20" ht="14.25" customHeight="1" x14ac:dyDescent="0.2">
      <c r="A15" s="263"/>
      <c r="B15" s="329"/>
      <c r="C15" s="296"/>
      <c r="D15" s="261"/>
      <c r="E15" s="345"/>
      <c r="F15" s="273"/>
      <c r="G15" s="373"/>
      <c r="H15" s="273"/>
      <c r="I15" s="345"/>
      <c r="J15" s="273"/>
      <c r="K15" s="273"/>
      <c r="L15" s="47" t="s">
        <v>23</v>
      </c>
      <c r="M15" s="183" t="s">
        <v>572</v>
      </c>
      <c r="N15" s="73" t="s">
        <v>573</v>
      </c>
      <c r="O15" s="74">
        <v>2</v>
      </c>
      <c r="P15" s="74">
        <f t="shared" si="0"/>
        <v>2</v>
      </c>
      <c r="Q15" s="74">
        <f t="shared" si="1"/>
        <v>4</v>
      </c>
      <c r="R15" s="74">
        <f t="shared" si="2"/>
        <v>4</v>
      </c>
      <c r="S15" s="7" t="s">
        <v>518</v>
      </c>
      <c r="T15" s="52"/>
    </row>
    <row r="16" spans="1:20" ht="14.25" customHeight="1" x14ac:dyDescent="0.2">
      <c r="A16" s="263"/>
      <c r="B16" s="329"/>
      <c r="C16" s="296"/>
      <c r="D16" s="261"/>
      <c r="E16" s="345"/>
      <c r="F16" s="273"/>
      <c r="G16" s="373"/>
      <c r="H16" s="273"/>
      <c r="I16" s="345"/>
      <c r="J16" s="273"/>
      <c r="K16" s="273"/>
      <c r="L16" s="47" t="s">
        <v>26</v>
      </c>
      <c r="M16" s="183" t="s">
        <v>574</v>
      </c>
      <c r="N16" s="73" t="s">
        <v>573</v>
      </c>
      <c r="O16" s="74">
        <v>2</v>
      </c>
      <c r="P16" s="74">
        <f t="shared" si="0"/>
        <v>2</v>
      </c>
      <c r="Q16" s="74">
        <f t="shared" si="1"/>
        <v>4</v>
      </c>
      <c r="R16" s="74">
        <f t="shared" si="2"/>
        <v>4</v>
      </c>
      <c r="S16" s="7" t="s">
        <v>518</v>
      </c>
      <c r="T16" s="52"/>
    </row>
    <row r="17" spans="1:20" ht="14.25" customHeight="1" x14ac:dyDescent="0.2">
      <c r="A17" s="263"/>
      <c r="B17" s="329"/>
      <c r="C17" s="296"/>
      <c r="D17" s="261"/>
      <c r="E17" s="345"/>
      <c r="F17" s="273"/>
      <c r="G17" s="373"/>
      <c r="H17" s="273"/>
      <c r="I17" s="345"/>
      <c r="J17" s="273"/>
      <c r="K17" s="273"/>
      <c r="L17" s="47" t="s">
        <v>29</v>
      </c>
      <c r="M17" s="183" t="s">
        <v>402</v>
      </c>
      <c r="N17" s="73" t="s">
        <v>265</v>
      </c>
      <c r="O17" s="74">
        <v>4</v>
      </c>
      <c r="P17" s="74">
        <f t="shared" si="0"/>
        <v>4</v>
      </c>
      <c r="Q17" s="74">
        <f t="shared" si="1"/>
        <v>8</v>
      </c>
      <c r="R17" s="74">
        <f t="shared" si="2"/>
        <v>8</v>
      </c>
      <c r="S17" s="7" t="s">
        <v>518</v>
      </c>
      <c r="T17" s="52"/>
    </row>
    <row r="18" spans="1:20" ht="14.25" customHeight="1" x14ac:dyDescent="0.2">
      <c r="A18" s="264"/>
      <c r="B18" s="330"/>
      <c r="C18" s="297"/>
      <c r="D18" s="261"/>
      <c r="E18" s="345"/>
      <c r="F18" s="273"/>
      <c r="G18" s="373"/>
      <c r="H18" s="273"/>
      <c r="I18" s="345"/>
      <c r="J18" s="273"/>
      <c r="K18" s="273"/>
      <c r="L18" s="47" t="s">
        <v>32</v>
      </c>
      <c r="M18" s="183" t="s">
        <v>84</v>
      </c>
      <c r="N18" s="78" t="s">
        <v>266</v>
      </c>
      <c r="O18" s="74">
        <v>4</v>
      </c>
      <c r="P18" s="74">
        <f t="shared" si="0"/>
        <v>4</v>
      </c>
      <c r="Q18" s="74">
        <f t="shared" si="1"/>
        <v>8</v>
      </c>
      <c r="R18" s="74">
        <f t="shared" si="2"/>
        <v>8</v>
      </c>
      <c r="S18" s="7" t="s">
        <v>518</v>
      </c>
      <c r="T18" s="52"/>
    </row>
    <row r="19" spans="1:20" x14ac:dyDescent="0.2">
      <c r="J19" s="5"/>
      <c r="K19" s="5"/>
    </row>
    <row r="21" spans="1:20" x14ac:dyDescent="0.2">
      <c r="Q21" s="196"/>
    </row>
    <row r="25" spans="1:20" ht="15.75" x14ac:dyDescent="0.2">
      <c r="M25" s="58"/>
    </row>
    <row r="26" spans="1:20" hidden="1" x14ac:dyDescent="0.2">
      <c r="B26" s="197">
        <v>15</v>
      </c>
    </row>
    <row r="27" spans="1:20" hidden="1" x14ac:dyDescent="0.2">
      <c r="B27" s="197">
        <v>20</v>
      </c>
    </row>
    <row r="28" spans="1:20" hidden="1" x14ac:dyDescent="0.2">
      <c r="B28" s="197">
        <v>25</v>
      </c>
    </row>
    <row r="29" spans="1:20" hidden="1" x14ac:dyDescent="0.2">
      <c r="B29" s="197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M10" sqref="M10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5.875" customWidth="1"/>
    <col min="6" max="6" width="5.375" customWidth="1"/>
    <col min="7" max="7" width="5.125" customWidth="1"/>
    <col min="8" max="8" width="5" customWidth="1"/>
    <col min="9" max="9" width="6.375" customWidth="1"/>
    <col min="10" max="10" width="5.375" customWidth="1"/>
    <col min="11" max="11" width="5.625" customWidth="1"/>
    <col min="12" max="12" width="5" customWidth="1"/>
    <col min="13" max="13" width="15.5" customWidth="1"/>
    <col min="14" max="14" width="10.375" customWidth="1"/>
    <col min="15" max="15" width="5.75" customWidth="1"/>
    <col min="16" max="16" width="5.625" customWidth="1"/>
    <col min="17" max="17" width="5.125" customWidth="1"/>
    <col min="18" max="18" width="7" customWidth="1"/>
    <col min="19" max="19" width="4.875" customWidth="1"/>
    <col min="20" max="20" width="4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259" t="s">
        <v>0</v>
      </c>
      <c r="B6" s="260"/>
      <c r="C6" s="26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492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x14ac:dyDescent="0.2">
      <c r="A8" s="387" t="s">
        <v>335</v>
      </c>
      <c r="B8" s="339">
        <f>'درام روتاری'!B8</f>
        <v>15</v>
      </c>
      <c r="C8" s="339">
        <v>2</v>
      </c>
      <c r="D8" s="387" t="s">
        <v>255</v>
      </c>
      <c r="E8" s="388" t="s">
        <v>575</v>
      </c>
      <c r="F8" s="385">
        <v>1</v>
      </c>
      <c r="G8" s="373">
        <f>C8*F8</f>
        <v>2</v>
      </c>
      <c r="H8" s="373" t="s">
        <v>250</v>
      </c>
      <c r="I8" s="373" t="s">
        <v>575</v>
      </c>
      <c r="J8" s="373">
        <v>1</v>
      </c>
      <c r="K8" s="373">
        <f>J8*G8</f>
        <v>2</v>
      </c>
      <c r="L8" s="198" t="s">
        <v>19</v>
      </c>
      <c r="M8" s="199" t="s">
        <v>562</v>
      </c>
      <c r="N8" s="200" t="s">
        <v>576</v>
      </c>
      <c r="O8" s="200">
        <v>1</v>
      </c>
      <c r="P8" s="132">
        <f>O8*$F$8</f>
        <v>1</v>
      </c>
      <c r="Q8" s="132">
        <f>P8*$C$8</f>
        <v>2</v>
      </c>
      <c r="R8" s="132">
        <f>5.65*Q8</f>
        <v>11.3</v>
      </c>
      <c r="S8" s="132" t="s">
        <v>496</v>
      </c>
      <c r="T8" s="201"/>
    </row>
    <row r="9" spans="1:20" x14ac:dyDescent="0.2">
      <c r="A9" s="387"/>
      <c r="B9" s="339"/>
      <c r="C9" s="339"/>
      <c r="D9" s="387"/>
      <c r="E9" s="388"/>
      <c r="F9" s="385"/>
      <c r="G9" s="373"/>
      <c r="H9" s="373"/>
      <c r="I9" s="373"/>
      <c r="J9" s="373"/>
      <c r="K9" s="373"/>
      <c r="L9" s="198" t="s">
        <v>21</v>
      </c>
      <c r="M9" s="199" t="s">
        <v>261</v>
      </c>
      <c r="N9" s="200" t="s">
        <v>577</v>
      </c>
      <c r="O9" s="200">
        <v>3</v>
      </c>
      <c r="P9" s="132">
        <f t="shared" ref="P9:P23" si="0">O9*$F$8</f>
        <v>3</v>
      </c>
      <c r="Q9" s="132">
        <f t="shared" ref="Q9:Q23" si="1">P9*$C$8</f>
        <v>6</v>
      </c>
      <c r="R9" s="132">
        <f>Q9*1.5</f>
        <v>9</v>
      </c>
      <c r="S9" s="132" t="s">
        <v>496</v>
      </c>
      <c r="T9" s="201"/>
    </row>
    <row r="10" spans="1:20" x14ac:dyDescent="0.2">
      <c r="A10" s="387"/>
      <c r="B10" s="339"/>
      <c r="C10" s="339"/>
      <c r="D10" s="387"/>
      <c r="E10" s="388"/>
      <c r="F10" s="385"/>
      <c r="G10" s="373"/>
      <c r="H10" s="373"/>
      <c r="I10" s="373"/>
      <c r="J10" s="373"/>
      <c r="K10" s="373"/>
      <c r="L10" s="198" t="s">
        <v>23</v>
      </c>
      <c r="M10" s="199" t="s">
        <v>578</v>
      </c>
      <c r="N10" s="200" t="s">
        <v>579</v>
      </c>
      <c r="O10" s="200">
        <v>1</v>
      </c>
      <c r="P10" s="132">
        <f t="shared" si="0"/>
        <v>1</v>
      </c>
      <c r="Q10" s="132">
        <f t="shared" si="1"/>
        <v>2</v>
      </c>
      <c r="R10" s="132">
        <f>2.3*Q10</f>
        <v>4.5999999999999996</v>
      </c>
      <c r="S10" s="132" t="s">
        <v>496</v>
      </c>
      <c r="T10" s="201"/>
    </row>
    <row r="11" spans="1:20" x14ac:dyDescent="0.2">
      <c r="A11" s="387"/>
      <c r="B11" s="339"/>
      <c r="C11" s="339"/>
      <c r="D11" s="387"/>
      <c r="E11" s="388"/>
      <c r="F11" s="385"/>
      <c r="G11" s="373"/>
      <c r="H11" s="373"/>
      <c r="I11" s="373"/>
      <c r="J11" s="373"/>
      <c r="K11" s="373"/>
      <c r="L11" s="198" t="s">
        <v>26</v>
      </c>
      <c r="M11" s="199" t="s">
        <v>580</v>
      </c>
      <c r="N11" s="44" t="str">
        <f>IF(B8=30,"70x70,L=1677",IF(B8=20,"70x70,L=1213",IF(B8=25,"70x70,L=1445",IF(B8=15,"70x70,L=981"))))</f>
        <v>70x70,L=981</v>
      </c>
      <c r="O11" s="200">
        <v>2</v>
      </c>
      <c r="P11" s="132">
        <f t="shared" si="0"/>
        <v>2</v>
      </c>
      <c r="Q11" s="132">
        <f t="shared" si="1"/>
        <v>4</v>
      </c>
      <c r="R11" s="44">
        <f>(IF(B8=30,"11",IF(B8=20,"8",IF(B8=25,"9.53",IF(B8=15,"6.46")))))*Q11</f>
        <v>25.84</v>
      </c>
      <c r="S11" s="132" t="s">
        <v>496</v>
      </c>
      <c r="T11" s="201"/>
    </row>
    <row r="12" spans="1:20" x14ac:dyDescent="0.2">
      <c r="A12" s="387"/>
      <c r="B12" s="339"/>
      <c r="C12" s="339"/>
      <c r="D12" s="387"/>
      <c r="E12" s="388"/>
      <c r="F12" s="385"/>
      <c r="G12" s="373"/>
      <c r="H12" s="373"/>
      <c r="I12" s="373"/>
      <c r="J12" s="373"/>
      <c r="K12" s="373"/>
      <c r="L12" s="198" t="s">
        <v>29</v>
      </c>
      <c r="M12" s="199" t="s">
        <v>581</v>
      </c>
      <c r="N12" s="44" t="str">
        <f>IF(B8=30,"70x70,L=1718",IF(B8=20,"70x70,L=1177",IF(B8=25,"70x70,L=1447",IF(B8=15,"70x70,L=906"))))</f>
        <v>70x70,L=906</v>
      </c>
      <c r="O12" s="200">
        <v>1</v>
      </c>
      <c r="P12" s="132">
        <f t="shared" si="0"/>
        <v>1</v>
      </c>
      <c r="Q12" s="132">
        <f t="shared" si="1"/>
        <v>2</v>
      </c>
      <c r="R12" s="44">
        <f>(IF(B8=30,"12.1",IF(B8=20,"8.75",IF(B8=25,"10.42",IF(B8=15,"7")))))*Q12</f>
        <v>14</v>
      </c>
      <c r="S12" s="132" t="s">
        <v>496</v>
      </c>
      <c r="T12" s="201"/>
    </row>
    <row r="13" spans="1:20" x14ac:dyDescent="0.2">
      <c r="A13" s="387"/>
      <c r="B13" s="339"/>
      <c r="C13" s="339"/>
      <c r="D13" s="387"/>
      <c r="E13" s="388"/>
      <c r="F13" s="385"/>
      <c r="G13" s="373"/>
      <c r="H13" s="373"/>
      <c r="I13" s="373"/>
      <c r="J13" s="373"/>
      <c r="K13" s="373"/>
      <c r="L13" s="198" t="s">
        <v>32</v>
      </c>
      <c r="M13" s="199" t="s">
        <v>582</v>
      </c>
      <c r="N13" s="44" t="str">
        <f>IF(B8=30,"3x270x700",IF(B8=20,"3x270x500",IF(B8=25,"3x270x600",IF(B8=15,"3x270x400"))))</f>
        <v>3x270x400</v>
      </c>
      <c r="O13" s="200">
        <v>1</v>
      </c>
      <c r="P13" s="132">
        <f t="shared" si="0"/>
        <v>1</v>
      </c>
      <c r="Q13" s="132">
        <f t="shared" si="1"/>
        <v>2</v>
      </c>
      <c r="R13" s="44">
        <f>(IF(B8=30,"4.45",IF(B8=20,"3.18",IF(B8=25,"3.81",IF(B8=15,"2.54")))))*Q13</f>
        <v>5.08</v>
      </c>
      <c r="S13" s="132" t="s">
        <v>496</v>
      </c>
      <c r="T13" s="201"/>
    </row>
    <row r="14" spans="1:20" ht="28.5" x14ac:dyDescent="0.2">
      <c r="A14" s="387"/>
      <c r="B14" s="339"/>
      <c r="C14" s="339"/>
      <c r="D14" s="387"/>
      <c r="E14" s="388"/>
      <c r="F14" s="385"/>
      <c r="G14" s="373"/>
      <c r="H14" s="373"/>
      <c r="I14" s="373"/>
      <c r="J14" s="373"/>
      <c r="K14" s="373"/>
      <c r="L14" s="198" t="s">
        <v>35</v>
      </c>
      <c r="M14" s="202" t="s">
        <v>583</v>
      </c>
      <c r="N14" s="200" t="s">
        <v>584</v>
      </c>
      <c r="O14" s="200">
        <v>1</v>
      </c>
      <c r="P14" s="132">
        <f t="shared" si="0"/>
        <v>1</v>
      </c>
      <c r="Q14" s="132">
        <f t="shared" si="1"/>
        <v>2</v>
      </c>
      <c r="R14" s="132">
        <f>1.06*Q14</f>
        <v>2.12</v>
      </c>
      <c r="S14" s="132" t="s">
        <v>496</v>
      </c>
      <c r="T14" s="201"/>
    </row>
    <row r="15" spans="1:20" x14ac:dyDescent="0.2">
      <c r="A15" s="387"/>
      <c r="B15" s="339"/>
      <c r="C15" s="339"/>
      <c r="D15" s="387"/>
      <c r="E15" s="388"/>
      <c r="F15" s="385"/>
      <c r="G15" s="373"/>
      <c r="H15" s="373"/>
      <c r="I15" s="373"/>
      <c r="J15" s="373"/>
      <c r="K15" s="373"/>
      <c r="L15" s="198" t="s">
        <v>37</v>
      </c>
      <c r="M15" s="199" t="s">
        <v>585</v>
      </c>
      <c r="N15" s="200" t="s">
        <v>586</v>
      </c>
      <c r="O15" s="200">
        <v>1</v>
      </c>
      <c r="P15" s="132">
        <f t="shared" si="0"/>
        <v>1</v>
      </c>
      <c r="Q15" s="132">
        <f t="shared" si="1"/>
        <v>2</v>
      </c>
      <c r="R15" s="132">
        <f>0.33*Q15</f>
        <v>0.66</v>
      </c>
      <c r="S15" s="132" t="s">
        <v>496</v>
      </c>
      <c r="T15" s="201"/>
    </row>
    <row r="16" spans="1:20" x14ac:dyDescent="0.2">
      <c r="A16" s="387"/>
      <c r="B16" s="339"/>
      <c r="C16" s="339"/>
      <c r="D16" s="387"/>
      <c r="E16" s="388"/>
      <c r="F16" s="385"/>
      <c r="G16" s="373"/>
      <c r="H16" s="373"/>
      <c r="I16" s="373"/>
      <c r="J16" s="373"/>
      <c r="K16" s="373"/>
      <c r="L16" s="198" t="s">
        <v>40</v>
      </c>
      <c r="M16" s="199" t="s">
        <v>587</v>
      </c>
      <c r="N16" s="200" t="s">
        <v>260</v>
      </c>
      <c r="O16" s="200">
        <v>1</v>
      </c>
      <c r="P16" s="132">
        <f t="shared" si="0"/>
        <v>1</v>
      </c>
      <c r="Q16" s="132">
        <f t="shared" si="1"/>
        <v>2</v>
      </c>
      <c r="R16" s="132">
        <f>0.15*Q16</f>
        <v>0.3</v>
      </c>
      <c r="S16" s="132" t="s">
        <v>496</v>
      </c>
      <c r="T16" s="201"/>
    </row>
    <row r="17" spans="1:20" x14ac:dyDescent="0.2">
      <c r="A17" s="387"/>
      <c r="B17" s="339"/>
      <c r="C17" s="339"/>
      <c r="D17" s="387"/>
      <c r="E17" s="388"/>
      <c r="F17" s="385"/>
      <c r="G17" s="373"/>
      <c r="H17" s="373"/>
      <c r="I17" s="373"/>
      <c r="J17" s="373"/>
      <c r="K17" s="373"/>
      <c r="L17" s="198" t="s">
        <v>51</v>
      </c>
      <c r="M17" s="199" t="s">
        <v>588</v>
      </c>
      <c r="N17" s="44" t="str">
        <f>IF(B8=30,"40x40,L=700",IF(B8=20,"40x40,L=500",IF(B8=25,"40x40,L=600",IF(B8=15,"40x40,L=400"))))</f>
        <v>40x40,L=400</v>
      </c>
      <c r="O17" s="200">
        <v>1</v>
      </c>
      <c r="P17" s="132">
        <f t="shared" si="0"/>
        <v>1</v>
      </c>
      <c r="Q17" s="132">
        <f t="shared" si="1"/>
        <v>2</v>
      </c>
      <c r="R17" s="44">
        <f>(IF(B8=30,"1.75",IF(B8=20,"1.25",IF(B8=25,"1.5",IF(B8=15,"1")))))*Q17</f>
        <v>2</v>
      </c>
      <c r="S17" s="132" t="s">
        <v>496</v>
      </c>
      <c r="T17" s="201"/>
    </row>
    <row r="18" spans="1:20" x14ac:dyDescent="0.2">
      <c r="A18" s="387"/>
      <c r="B18" s="339"/>
      <c r="C18" s="339"/>
      <c r="D18" s="387"/>
      <c r="E18" s="388"/>
      <c r="F18" s="385"/>
      <c r="G18" s="373"/>
      <c r="H18" s="373"/>
      <c r="I18" s="373"/>
      <c r="J18" s="373"/>
      <c r="K18" s="373"/>
      <c r="L18" s="198" t="s">
        <v>52</v>
      </c>
      <c r="M18" s="199" t="s">
        <v>589</v>
      </c>
      <c r="N18" s="44" t="str">
        <f>IF(B8=30,"40x40,L=800",IF(B8=20,"40x40,L=600",IF(B8=25,"40x40,L=700",IF(B8=15,"40x40,L=500"))))</f>
        <v>40x40,L=500</v>
      </c>
      <c r="O18" s="200">
        <v>1</v>
      </c>
      <c r="P18" s="132">
        <f t="shared" si="0"/>
        <v>1</v>
      </c>
      <c r="Q18" s="132">
        <f t="shared" si="1"/>
        <v>2</v>
      </c>
      <c r="R18" s="44">
        <f>(IF(B8=30,"2",IF(B8=20,"1.5",IF(B8=25,"1.75",IF(B8=15,"1.25")))))*Q18</f>
        <v>2.5</v>
      </c>
      <c r="S18" s="132" t="s">
        <v>496</v>
      </c>
      <c r="T18" s="201"/>
    </row>
    <row r="19" spans="1:20" x14ac:dyDescent="0.2">
      <c r="A19" s="387"/>
      <c r="B19" s="339"/>
      <c r="C19" s="339"/>
      <c r="D19" s="387"/>
      <c r="E19" s="388"/>
      <c r="F19" s="385"/>
      <c r="G19" s="373"/>
      <c r="H19" s="373"/>
      <c r="I19" s="373"/>
      <c r="J19" s="373"/>
      <c r="K19" s="373"/>
      <c r="L19" s="198" t="s">
        <v>53</v>
      </c>
      <c r="M19" s="199" t="s">
        <v>590</v>
      </c>
      <c r="N19" s="200" t="s">
        <v>591</v>
      </c>
      <c r="O19" s="200">
        <v>1</v>
      </c>
      <c r="P19" s="132">
        <f t="shared" si="0"/>
        <v>1</v>
      </c>
      <c r="Q19" s="132">
        <f t="shared" si="1"/>
        <v>2</v>
      </c>
      <c r="R19" s="132">
        <f>Q19*1.68</f>
        <v>3.36</v>
      </c>
      <c r="S19" s="132" t="s">
        <v>496</v>
      </c>
      <c r="T19" s="201"/>
    </row>
    <row r="20" spans="1:20" x14ac:dyDescent="0.2">
      <c r="A20" s="387"/>
      <c r="B20" s="339"/>
      <c r="C20" s="339"/>
      <c r="D20" s="387"/>
      <c r="E20" s="388"/>
      <c r="F20" s="385"/>
      <c r="G20" s="373"/>
      <c r="H20" s="373"/>
      <c r="I20" s="373"/>
      <c r="J20" s="373"/>
      <c r="K20" s="373"/>
      <c r="L20" s="198" t="s">
        <v>57</v>
      </c>
      <c r="M20" s="199" t="s">
        <v>592</v>
      </c>
      <c r="N20" s="200" t="s">
        <v>593</v>
      </c>
      <c r="O20" s="200">
        <v>3</v>
      </c>
      <c r="P20" s="132">
        <f t="shared" si="0"/>
        <v>3</v>
      </c>
      <c r="Q20" s="132">
        <f t="shared" si="1"/>
        <v>6</v>
      </c>
      <c r="R20" s="132">
        <f>0.126*Q20</f>
        <v>0.75600000000000001</v>
      </c>
      <c r="S20" s="132" t="s">
        <v>496</v>
      </c>
      <c r="T20" s="201"/>
    </row>
    <row r="21" spans="1:20" x14ac:dyDescent="0.2">
      <c r="A21" s="387"/>
      <c r="B21" s="339"/>
      <c r="C21" s="339"/>
      <c r="D21" s="387"/>
      <c r="E21" s="388"/>
      <c r="F21" s="385"/>
      <c r="G21" s="373"/>
      <c r="H21" s="373"/>
      <c r="I21" s="373"/>
      <c r="J21" s="373"/>
      <c r="K21" s="373"/>
      <c r="L21" s="198" t="s">
        <v>58</v>
      </c>
      <c r="M21" s="199" t="s">
        <v>594</v>
      </c>
      <c r="N21" s="200" t="s">
        <v>595</v>
      </c>
      <c r="O21" s="200">
        <v>2</v>
      </c>
      <c r="P21" s="132">
        <f t="shared" si="0"/>
        <v>2</v>
      </c>
      <c r="Q21" s="132">
        <f t="shared" si="1"/>
        <v>4</v>
      </c>
      <c r="R21" s="132">
        <f>Q21*0.1</f>
        <v>0.4</v>
      </c>
      <c r="S21" s="132" t="s">
        <v>496</v>
      </c>
      <c r="T21" s="53"/>
    </row>
    <row r="22" spans="1:20" x14ac:dyDescent="0.2">
      <c r="A22" s="387"/>
      <c r="B22" s="339"/>
      <c r="C22" s="339"/>
      <c r="D22" s="387"/>
      <c r="E22" s="388"/>
      <c r="F22" s="385"/>
      <c r="G22" s="373"/>
      <c r="H22" s="373"/>
      <c r="I22" s="373"/>
      <c r="J22" s="373"/>
      <c r="K22" s="373"/>
      <c r="L22" s="198">
        <v>15</v>
      </c>
      <c r="M22" s="199" t="s">
        <v>596</v>
      </c>
      <c r="N22" s="200" t="s">
        <v>597</v>
      </c>
      <c r="O22" s="200">
        <v>1</v>
      </c>
      <c r="P22" s="132">
        <f t="shared" si="0"/>
        <v>1</v>
      </c>
      <c r="Q22" s="132">
        <f t="shared" si="1"/>
        <v>2</v>
      </c>
      <c r="R22" s="132">
        <f>Q22*0.254</f>
        <v>0.50800000000000001</v>
      </c>
      <c r="S22" s="132" t="s">
        <v>496</v>
      </c>
      <c r="T22" s="201"/>
    </row>
    <row r="23" spans="1:20" x14ac:dyDescent="0.2">
      <c r="A23" s="387"/>
      <c r="B23" s="339"/>
      <c r="C23" s="339"/>
      <c r="D23" s="387"/>
      <c r="E23" s="388"/>
      <c r="F23" s="385"/>
      <c r="G23" s="373"/>
      <c r="H23" s="373"/>
      <c r="I23" s="373"/>
      <c r="J23" s="373"/>
      <c r="K23" s="373"/>
      <c r="L23" s="198">
        <v>16</v>
      </c>
      <c r="M23" s="203" t="s">
        <v>598</v>
      </c>
      <c r="N23" s="204" t="s">
        <v>599</v>
      </c>
      <c r="O23" s="200">
        <v>2</v>
      </c>
      <c r="P23" s="132">
        <f t="shared" si="0"/>
        <v>2</v>
      </c>
      <c r="Q23" s="132">
        <f t="shared" si="1"/>
        <v>4</v>
      </c>
      <c r="R23" s="132">
        <f>Q23*0.088</f>
        <v>0.35199999999999998</v>
      </c>
      <c r="S23" s="132" t="s">
        <v>496</v>
      </c>
      <c r="T23" s="201"/>
    </row>
    <row r="24" spans="1:20" x14ac:dyDescent="0.2">
      <c r="J24" s="5"/>
      <c r="K24" s="5"/>
    </row>
    <row r="35" spans="1:20" ht="19.5" x14ac:dyDescent="0.2">
      <c r="A35" s="259" t="s">
        <v>0</v>
      </c>
      <c r="B35" s="260"/>
      <c r="C35" s="260"/>
      <c r="D35" s="11"/>
      <c r="E35" s="12"/>
      <c r="F35" s="12" t="s">
        <v>14</v>
      </c>
      <c r="G35" s="13"/>
      <c r="H35" s="12"/>
      <c r="I35" s="12" t="s">
        <v>13</v>
      </c>
      <c r="J35" s="12"/>
      <c r="K35" s="13"/>
      <c r="L35" s="11"/>
      <c r="M35" s="12"/>
      <c r="N35" s="6" t="s">
        <v>1</v>
      </c>
      <c r="O35" s="12"/>
      <c r="P35" s="12"/>
      <c r="Q35" s="12"/>
      <c r="R35" s="21"/>
      <c r="S35" s="21"/>
      <c r="T35" s="17" t="s">
        <v>15</v>
      </c>
    </row>
    <row r="36" spans="1:20" ht="50.25" customHeight="1" x14ac:dyDescent="0.2">
      <c r="A36" s="29" t="s">
        <v>2</v>
      </c>
      <c r="B36" s="29" t="s">
        <v>492</v>
      </c>
      <c r="C36" s="30" t="s">
        <v>3</v>
      </c>
      <c r="D36" s="30" t="s">
        <v>4</v>
      </c>
      <c r="E36" s="31" t="s">
        <v>5</v>
      </c>
      <c r="F36" s="30" t="s">
        <v>6</v>
      </c>
      <c r="G36" s="30" t="s">
        <v>3</v>
      </c>
      <c r="H36" s="30" t="s">
        <v>10</v>
      </c>
      <c r="I36" s="30" t="s">
        <v>5</v>
      </c>
      <c r="J36" s="29" t="s">
        <v>12</v>
      </c>
      <c r="K36" s="30" t="s">
        <v>11</v>
      </c>
      <c r="L36" s="32" t="s">
        <v>7</v>
      </c>
      <c r="M36" s="31" t="s">
        <v>5</v>
      </c>
      <c r="N36" s="31" t="s">
        <v>9</v>
      </c>
      <c r="O36" s="30" t="s">
        <v>8</v>
      </c>
      <c r="P36" s="30" t="s">
        <v>6</v>
      </c>
      <c r="Q36" s="205" t="s">
        <v>3</v>
      </c>
      <c r="R36" s="205" t="s">
        <v>17</v>
      </c>
      <c r="S36" s="205" t="s">
        <v>18</v>
      </c>
      <c r="T36" s="30" t="s">
        <v>16</v>
      </c>
    </row>
    <row r="37" spans="1:20" ht="14.25" customHeight="1" x14ac:dyDescent="0.2">
      <c r="A37" s="378" t="s">
        <v>335</v>
      </c>
      <c r="B37" s="381">
        <f>'درام روتاری'!B8</f>
        <v>15</v>
      </c>
      <c r="C37" s="384" t="s">
        <v>19</v>
      </c>
      <c r="D37" s="384" t="s">
        <v>255</v>
      </c>
      <c r="E37" s="384" t="s">
        <v>575</v>
      </c>
      <c r="F37" s="384" t="s">
        <v>19</v>
      </c>
      <c r="G37" s="386">
        <f>F37*C37</f>
        <v>1</v>
      </c>
      <c r="H37" s="273" t="s">
        <v>250</v>
      </c>
      <c r="I37" s="273" t="s">
        <v>575</v>
      </c>
      <c r="J37" s="273">
        <v>1</v>
      </c>
      <c r="K37" s="273">
        <v>2</v>
      </c>
      <c r="L37" s="47" t="s">
        <v>67</v>
      </c>
      <c r="M37" s="51" t="s">
        <v>600</v>
      </c>
      <c r="N37" s="206" t="s">
        <v>601</v>
      </c>
      <c r="O37" s="170">
        <v>2</v>
      </c>
      <c r="P37" s="170">
        <f>O37*$F$37</f>
        <v>2</v>
      </c>
      <c r="Q37" s="170">
        <f>P37*C$37</f>
        <v>2</v>
      </c>
      <c r="R37" s="170">
        <f>Q37</f>
        <v>2</v>
      </c>
      <c r="S37" s="130" t="s">
        <v>518</v>
      </c>
      <c r="T37" s="133"/>
    </row>
    <row r="38" spans="1:20" ht="14.25" customHeight="1" x14ac:dyDescent="0.2">
      <c r="A38" s="379"/>
      <c r="B38" s="382"/>
      <c r="C38" s="349"/>
      <c r="D38" s="349"/>
      <c r="E38" s="349"/>
      <c r="F38" s="349"/>
      <c r="G38" s="351"/>
      <c r="H38" s="273"/>
      <c r="I38" s="273"/>
      <c r="J38" s="273"/>
      <c r="K38" s="273"/>
      <c r="L38" s="47" t="s">
        <v>68</v>
      </c>
      <c r="M38" s="51" t="s">
        <v>602</v>
      </c>
      <c r="N38" s="206" t="s">
        <v>603</v>
      </c>
      <c r="O38" s="170">
        <v>2</v>
      </c>
      <c r="P38" s="170">
        <f t="shared" ref="P38:P49" si="2">O38*$F$37</f>
        <v>2</v>
      </c>
      <c r="Q38" s="170">
        <f t="shared" ref="Q38:Q49" si="3">P38*C$37</f>
        <v>2</v>
      </c>
      <c r="R38" s="170">
        <f t="shared" ref="R38:R49" si="4">Q38</f>
        <v>2</v>
      </c>
      <c r="S38" s="130" t="s">
        <v>518</v>
      </c>
      <c r="T38" s="133"/>
    </row>
    <row r="39" spans="1:20" ht="14.25" customHeight="1" x14ac:dyDescent="0.2">
      <c r="A39" s="379"/>
      <c r="B39" s="382"/>
      <c r="C39" s="349"/>
      <c r="D39" s="349"/>
      <c r="E39" s="349"/>
      <c r="F39" s="349"/>
      <c r="G39" s="351"/>
      <c r="H39" s="273"/>
      <c r="I39" s="273"/>
      <c r="J39" s="273"/>
      <c r="K39" s="273"/>
      <c r="L39" s="47" t="s">
        <v>69</v>
      </c>
      <c r="M39" s="51" t="s">
        <v>604</v>
      </c>
      <c r="N39" s="206" t="s">
        <v>605</v>
      </c>
      <c r="O39" s="170">
        <v>4</v>
      </c>
      <c r="P39" s="170">
        <f t="shared" si="2"/>
        <v>4</v>
      </c>
      <c r="Q39" s="170">
        <f t="shared" si="3"/>
        <v>4</v>
      </c>
      <c r="R39" s="170">
        <f t="shared" si="4"/>
        <v>4</v>
      </c>
      <c r="S39" s="130" t="s">
        <v>518</v>
      </c>
      <c r="T39" s="133"/>
    </row>
    <row r="40" spans="1:20" ht="14.25" customHeight="1" x14ac:dyDescent="0.2">
      <c r="A40" s="379"/>
      <c r="B40" s="382"/>
      <c r="C40" s="349"/>
      <c r="D40" s="349"/>
      <c r="E40" s="349"/>
      <c r="F40" s="349"/>
      <c r="G40" s="351"/>
      <c r="H40" s="298"/>
      <c r="I40" s="298"/>
      <c r="J40" s="298"/>
      <c r="K40" s="298"/>
      <c r="L40" s="47" t="s">
        <v>70</v>
      </c>
      <c r="M40" s="51" t="s">
        <v>606</v>
      </c>
      <c r="N40" s="206" t="s">
        <v>605</v>
      </c>
      <c r="O40" s="170">
        <v>2</v>
      </c>
      <c r="P40" s="170">
        <f t="shared" si="2"/>
        <v>2</v>
      </c>
      <c r="Q40" s="170">
        <f t="shared" si="3"/>
        <v>2</v>
      </c>
      <c r="R40" s="170">
        <f t="shared" si="4"/>
        <v>2</v>
      </c>
      <c r="S40" s="130" t="s">
        <v>518</v>
      </c>
      <c r="T40" s="207"/>
    </row>
    <row r="41" spans="1:20" ht="14.25" customHeight="1" x14ac:dyDescent="0.2">
      <c r="A41" s="379"/>
      <c r="B41" s="382"/>
      <c r="C41" s="349"/>
      <c r="D41" s="349"/>
      <c r="E41" s="349"/>
      <c r="F41" s="349"/>
      <c r="G41" s="351"/>
      <c r="H41" s="298"/>
      <c r="I41" s="298"/>
      <c r="J41" s="298"/>
      <c r="K41" s="298"/>
      <c r="L41" s="87" t="s">
        <v>77</v>
      </c>
      <c r="M41" s="208" t="s">
        <v>607</v>
      </c>
      <c r="N41" s="208" t="s">
        <v>608</v>
      </c>
      <c r="O41" s="209">
        <v>1</v>
      </c>
      <c r="P41" s="209">
        <f t="shared" si="2"/>
        <v>1</v>
      </c>
      <c r="Q41" s="209">
        <f t="shared" si="3"/>
        <v>1</v>
      </c>
      <c r="R41" s="209">
        <f t="shared" si="4"/>
        <v>1</v>
      </c>
      <c r="S41" s="209" t="s">
        <v>518</v>
      </c>
      <c r="T41" s="207"/>
    </row>
    <row r="42" spans="1:20" ht="14.25" customHeight="1" thickBot="1" x14ac:dyDescent="0.25">
      <c r="A42" s="379"/>
      <c r="B42" s="382"/>
      <c r="C42" s="349"/>
      <c r="D42" s="349"/>
      <c r="E42" s="349"/>
      <c r="F42" s="349"/>
      <c r="G42" s="351"/>
      <c r="H42" s="374"/>
      <c r="I42" s="374"/>
      <c r="J42" s="374"/>
      <c r="K42" s="374"/>
      <c r="L42" s="60" t="s">
        <v>78</v>
      </c>
      <c r="M42" s="210" t="s">
        <v>609</v>
      </c>
      <c r="N42" s="210" t="s">
        <v>610</v>
      </c>
      <c r="O42" s="211">
        <v>1</v>
      </c>
      <c r="P42" s="211">
        <f t="shared" si="2"/>
        <v>1</v>
      </c>
      <c r="Q42" s="211">
        <f t="shared" si="3"/>
        <v>1</v>
      </c>
      <c r="R42" s="211">
        <f t="shared" si="4"/>
        <v>1</v>
      </c>
      <c r="S42" s="211" t="s">
        <v>518</v>
      </c>
      <c r="T42" s="138"/>
    </row>
    <row r="43" spans="1:20" ht="14.25" customHeight="1" thickBot="1" x14ac:dyDescent="0.25">
      <c r="A43" s="379"/>
      <c r="B43" s="382"/>
      <c r="C43" s="349"/>
      <c r="D43" s="349"/>
      <c r="E43" s="349"/>
      <c r="F43" s="349"/>
      <c r="G43" s="351"/>
      <c r="H43" s="212" t="s">
        <v>44</v>
      </c>
      <c r="I43" s="212" t="s">
        <v>568</v>
      </c>
      <c r="J43" s="212" t="s">
        <v>44</v>
      </c>
      <c r="K43" s="212" t="s">
        <v>44</v>
      </c>
      <c r="L43" s="85" t="s">
        <v>19</v>
      </c>
      <c r="M43" s="213" t="s">
        <v>568</v>
      </c>
      <c r="N43" s="214" t="s">
        <v>569</v>
      </c>
      <c r="O43" s="215">
        <v>1</v>
      </c>
      <c r="P43" s="215">
        <f t="shared" si="2"/>
        <v>1</v>
      </c>
      <c r="Q43" s="215">
        <f t="shared" si="3"/>
        <v>1</v>
      </c>
      <c r="R43" s="215">
        <f t="shared" si="4"/>
        <v>1</v>
      </c>
      <c r="S43" s="215" t="s">
        <v>518</v>
      </c>
      <c r="T43" s="216"/>
    </row>
    <row r="44" spans="1:20" ht="14.25" customHeight="1" x14ac:dyDescent="0.2">
      <c r="A44" s="379"/>
      <c r="B44" s="382"/>
      <c r="C44" s="349"/>
      <c r="D44" s="349"/>
      <c r="E44" s="349"/>
      <c r="F44" s="349"/>
      <c r="G44" s="351"/>
      <c r="H44" s="353" t="s">
        <v>255</v>
      </c>
      <c r="I44" s="375" t="s">
        <v>300</v>
      </c>
      <c r="J44" s="353">
        <v>1</v>
      </c>
      <c r="K44" s="353">
        <v>2</v>
      </c>
      <c r="L44" s="81" t="s">
        <v>19</v>
      </c>
      <c r="M44" s="217" t="s">
        <v>402</v>
      </c>
      <c r="N44" s="217" t="s">
        <v>265</v>
      </c>
      <c r="O44" s="218">
        <v>6</v>
      </c>
      <c r="P44" s="218">
        <f t="shared" si="2"/>
        <v>6</v>
      </c>
      <c r="Q44" s="218">
        <f t="shared" si="3"/>
        <v>6</v>
      </c>
      <c r="R44" s="218">
        <f t="shared" si="4"/>
        <v>6</v>
      </c>
      <c r="S44" s="218" t="s">
        <v>518</v>
      </c>
      <c r="T44" s="207"/>
    </row>
    <row r="45" spans="1:20" ht="14.25" customHeight="1" x14ac:dyDescent="0.2">
      <c r="A45" s="379"/>
      <c r="B45" s="382"/>
      <c r="C45" s="349"/>
      <c r="D45" s="349"/>
      <c r="E45" s="349"/>
      <c r="F45" s="349"/>
      <c r="G45" s="351"/>
      <c r="H45" s="290"/>
      <c r="I45" s="376"/>
      <c r="J45" s="290"/>
      <c r="K45" s="290"/>
      <c r="L45" s="119" t="s">
        <v>21</v>
      </c>
      <c r="M45" s="206" t="s">
        <v>84</v>
      </c>
      <c r="N45" s="206" t="s">
        <v>266</v>
      </c>
      <c r="O45" s="181">
        <v>6</v>
      </c>
      <c r="P45" s="181">
        <f t="shared" si="2"/>
        <v>6</v>
      </c>
      <c r="Q45" s="181">
        <f t="shared" si="3"/>
        <v>6</v>
      </c>
      <c r="R45" s="181">
        <f t="shared" si="4"/>
        <v>6</v>
      </c>
      <c r="S45" s="181" t="s">
        <v>518</v>
      </c>
      <c r="T45" s="171"/>
    </row>
    <row r="46" spans="1:20" ht="14.25" customHeight="1" x14ac:dyDescent="0.2">
      <c r="A46" s="379"/>
      <c r="B46" s="382"/>
      <c r="C46" s="349"/>
      <c r="D46" s="349"/>
      <c r="E46" s="349"/>
      <c r="F46" s="349"/>
      <c r="G46" s="351"/>
      <c r="H46" s="290"/>
      <c r="I46" s="376"/>
      <c r="J46" s="290"/>
      <c r="K46" s="290"/>
      <c r="L46" s="119" t="s">
        <v>23</v>
      </c>
      <c r="M46" s="63" t="s">
        <v>611</v>
      </c>
      <c r="N46" s="219" t="s">
        <v>570</v>
      </c>
      <c r="O46" s="220">
        <v>2</v>
      </c>
      <c r="P46" s="220">
        <f t="shared" si="2"/>
        <v>2</v>
      </c>
      <c r="Q46" s="220">
        <f t="shared" si="3"/>
        <v>2</v>
      </c>
      <c r="R46" s="220">
        <f t="shared" si="4"/>
        <v>2</v>
      </c>
      <c r="S46" s="220" t="s">
        <v>518</v>
      </c>
      <c r="T46" s="159"/>
    </row>
    <row r="47" spans="1:20" ht="14.25" customHeight="1" x14ac:dyDescent="0.2">
      <c r="A47" s="379"/>
      <c r="B47" s="382"/>
      <c r="C47" s="349"/>
      <c r="D47" s="349"/>
      <c r="E47" s="349"/>
      <c r="F47" s="349"/>
      <c r="G47" s="351"/>
      <c r="H47" s="290"/>
      <c r="I47" s="376"/>
      <c r="J47" s="290"/>
      <c r="K47" s="290"/>
      <c r="L47" s="47" t="s">
        <v>26</v>
      </c>
      <c r="M47" s="51" t="s">
        <v>612</v>
      </c>
      <c r="N47" s="50" t="s">
        <v>571</v>
      </c>
      <c r="O47" s="181">
        <v>2</v>
      </c>
      <c r="P47" s="181">
        <f t="shared" si="2"/>
        <v>2</v>
      </c>
      <c r="Q47" s="181">
        <f t="shared" si="3"/>
        <v>2</v>
      </c>
      <c r="R47" s="181">
        <f t="shared" si="4"/>
        <v>2</v>
      </c>
      <c r="S47" s="181" t="s">
        <v>518</v>
      </c>
      <c r="T47" s="133"/>
    </row>
    <row r="48" spans="1:20" ht="14.25" customHeight="1" x14ac:dyDescent="0.2">
      <c r="A48" s="379"/>
      <c r="B48" s="382"/>
      <c r="C48" s="349"/>
      <c r="D48" s="349"/>
      <c r="E48" s="349"/>
      <c r="F48" s="349"/>
      <c r="G48" s="351"/>
      <c r="H48" s="290"/>
      <c r="I48" s="376"/>
      <c r="J48" s="290"/>
      <c r="K48" s="290"/>
      <c r="L48" s="47" t="s">
        <v>29</v>
      </c>
      <c r="M48" s="51" t="s">
        <v>613</v>
      </c>
      <c r="N48" s="50" t="s">
        <v>573</v>
      </c>
      <c r="O48" s="181">
        <v>2</v>
      </c>
      <c r="P48" s="181">
        <f t="shared" si="2"/>
        <v>2</v>
      </c>
      <c r="Q48" s="181">
        <f t="shared" si="3"/>
        <v>2</v>
      </c>
      <c r="R48" s="181">
        <f t="shared" si="4"/>
        <v>2</v>
      </c>
      <c r="S48" s="181" t="s">
        <v>518</v>
      </c>
      <c r="T48" s="133"/>
    </row>
    <row r="49" spans="1:20" ht="14.25" customHeight="1" x14ac:dyDescent="0.2">
      <c r="A49" s="380"/>
      <c r="B49" s="383"/>
      <c r="C49" s="350"/>
      <c r="D49" s="350"/>
      <c r="E49" s="350"/>
      <c r="F49" s="350"/>
      <c r="G49" s="352"/>
      <c r="H49" s="291"/>
      <c r="I49" s="377"/>
      <c r="J49" s="291"/>
      <c r="K49" s="291"/>
      <c r="L49" s="47" t="s">
        <v>32</v>
      </c>
      <c r="M49" s="51" t="s">
        <v>614</v>
      </c>
      <c r="N49" s="50" t="s">
        <v>573</v>
      </c>
      <c r="O49" s="181">
        <v>2</v>
      </c>
      <c r="P49" s="181">
        <f t="shared" si="2"/>
        <v>2</v>
      </c>
      <c r="Q49" s="181">
        <f t="shared" si="3"/>
        <v>2</v>
      </c>
      <c r="R49" s="181">
        <f t="shared" si="4"/>
        <v>2</v>
      </c>
      <c r="S49" s="181" t="s">
        <v>518</v>
      </c>
      <c r="T49" s="133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N7" sqref="N7"/>
    </sheetView>
  </sheetViews>
  <sheetFormatPr defaultRowHeight="14.25" x14ac:dyDescent="0.2"/>
  <cols>
    <col min="1" max="1" width="5" customWidth="1"/>
    <col min="2" max="2" width="4.375" customWidth="1"/>
    <col min="3" max="3" width="4.625" customWidth="1"/>
    <col min="4" max="4" width="5.25" customWidth="1"/>
    <col min="5" max="5" width="5" customWidth="1"/>
    <col min="6" max="6" width="5.375" customWidth="1"/>
    <col min="7" max="7" width="5.125" customWidth="1"/>
    <col min="8" max="8" width="5" customWidth="1"/>
    <col min="9" max="9" width="11.25" customWidth="1"/>
    <col min="10" max="10" width="4.375" customWidth="1"/>
    <col min="11" max="11" width="4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9" customHeight="1" x14ac:dyDescent="0.2"/>
    <row r="6" spans="1:20" ht="19.5" x14ac:dyDescent="0.2">
      <c r="A6" s="259" t="s">
        <v>0</v>
      </c>
      <c r="B6" s="260"/>
      <c r="C6" s="26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492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0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0" t="s">
        <v>16</v>
      </c>
    </row>
    <row r="8" spans="1:20" ht="14.25" customHeight="1" x14ac:dyDescent="0.2">
      <c r="A8" s="390" t="s">
        <v>335</v>
      </c>
      <c r="B8" s="360">
        <f>'درام روتاری'!B8</f>
        <v>15</v>
      </c>
      <c r="C8" s="391">
        <v>2</v>
      </c>
      <c r="D8" s="390" t="s">
        <v>335</v>
      </c>
      <c r="E8" s="389" t="s">
        <v>183</v>
      </c>
      <c r="F8" s="273" t="s">
        <v>19</v>
      </c>
      <c r="G8" s="274">
        <f>F8*C8</f>
        <v>2</v>
      </c>
      <c r="H8" s="221" t="s">
        <v>44</v>
      </c>
      <c r="I8" s="222" t="s">
        <v>615</v>
      </c>
      <c r="J8" s="221" t="s">
        <v>44</v>
      </c>
      <c r="K8" s="221" t="s">
        <v>44</v>
      </c>
      <c r="L8" s="47" t="s">
        <v>19</v>
      </c>
      <c r="M8" s="222" t="s">
        <v>615</v>
      </c>
      <c r="N8" s="117" t="s">
        <v>616</v>
      </c>
      <c r="O8" s="129">
        <v>1</v>
      </c>
      <c r="P8" s="129">
        <f>O8*$F$8</f>
        <v>1</v>
      </c>
      <c r="Q8" s="129">
        <f>P8*$C$8</f>
        <v>2</v>
      </c>
      <c r="R8" s="223">
        <f>15.7*$Q$8</f>
        <v>31.4</v>
      </c>
      <c r="S8" s="170" t="s">
        <v>496</v>
      </c>
      <c r="T8" s="52"/>
    </row>
    <row r="9" spans="1:20" ht="14.25" customHeight="1" x14ac:dyDescent="0.2">
      <c r="A9" s="390"/>
      <c r="B9" s="361"/>
      <c r="C9" s="391"/>
      <c r="D9" s="390"/>
      <c r="E9" s="389"/>
      <c r="F9" s="273"/>
      <c r="G9" s="274"/>
      <c r="H9" s="48" t="s">
        <v>44</v>
      </c>
      <c r="I9" s="46" t="s">
        <v>617</v>
      </c>
      <c r="J9" s="221" t="s">
        <v>44</v>
      </c>
      <c r="K9" s="221" t="s">
        <v>44</v>
      </c>
      <c r="L9" s="119" t="s">
        <v>21</v>
      </c>
      <c r="M9" s="46" t="s">
        <v>617</v>
      </c>
      <c r="N9" s="117" t="s">
        <v>616</v>
      </c>
      <c r="O9" s="129">
        <v>1</v>
      </c>
      <c r="P9" s="129">
        <f t="shared" ref="P9:P24" si="0">O9*$F$8</f>
        <v>1</v>
      </c>
      <c r="Q9" s="129">
        <f t="shared" ref="Q9:R24" si="1">P9*$C$8</f>
        <v>2</v>
      </c>
      <c r="R9" s="223">
        <f t="shared" ref="R9:R11" si="2">15.7*$Q$8</f>
        <v>31.4</v>
      </c>
      <c r="S9" s="170" t="s">
        <v>496</v>
      </c>
      <c r="T9" s="52"/>
    </row>
    <row r="10" spans="1:20" ht="14.25" customHeight="1" x14ac:dyDescent="0.2">
      <c r="A10" s="390"/>
      <c r="B10" s="361"/>
      <c r="C10" s="391"/>
      <c r="D10" s="390"/>
      <c r="E10" s="389"/>
      <c r="F10" s="273"/>
      <c r="G10" s="274"/>
      <c r="H10" s="48" t="s">
        <v>44</v>
      </c>
      <c r="I10" s="46" t="s">
        <v>618</v>
      </c>
      <c r="J10" s="221" t="s">
        <v>44</v>
      </c>
      <c r="K10" s="221" t="s">
        <v>44</v>
      </c>
      <c r="L10" s="47" t="s">
        <v>23</v>
      </c>
      <c r="M10" s="46" t="s">
        <v>618</v>
      </c>
      <c r="N10" s="117" t="s">
        <v>616</v>
      </c>
      <c r="O10" s="129">
        <v>1</v>
      </c>
      <c r="P10" s="129">
        <f t="shared" si="0"/>
        <v>1</v>
      </c>
      <c r="Q10" s="129">
        <f t="shared" si="1"/>
        <v>2</v>
      </c>
      <c r="R10" s="223">
        <f t="shared" si="2"/>
        <v>31.4</v>
      </c>
      <c r="S10" s="170" t="s">
        <v>496</v>
      </c>
      <c r="T10" s="52"/>
    </row>
    <row r="11" spans="1:20" ht="14.25" customHeight="1" x14ac:dyDescent="0.2">
      <c r="A11" s="390"/>
      <c r="B11" s="361"/>
      <c r="C11" s="391"/>
      <c r="D11" s="390"/>
      <c r="E11" s="389"/>
      <c r="F11" s="273"/>
      <c r="G11" s="274"/>
      <c r="H11" s="48" t="s">
        <v>44</v>
      </c>
      <c r="I11" s="46" t="s">
        <v>619</v>
      </c>
      <c r="J11" s="221" t="s">
        <v>44</v>
      </c>
      <c r="K11" s="221" t="s">
        <v>44</v>
      </c>
      <c r="L11" s="47" t="s">
        <v>26</v>
      </c>
      <c r="M11" s="46" t="s">
        <v>619</v>
      </c>
      <c r="N11" s="117" t="s">
        <v>616</v>
      </c>
      <c r="O11" s="129">
        <v>1</v>
      </c>
      <c r="P11" s="129">
        <f t="shared" si="0"/>
        <v>1</v>
      </c>
      <c r="Q11" s="129">
        <f t="shared" si="1"/>
        <v>2</v>
      </c>
      <c r="R11" s="223">
        <f t="shared" si="2"/>
        <v>31.4</v>
      </c>
      <c r="S11" s="170" t="s">
        <v>496</v>
      </c>
      <c r="T11" s="52"/>
    </row>
    <row r="12" spans="1:20" ht="14.25" customHeight="1" x14ac:dyDescent="0.2">
      <c r="A12" s="390"/>
      <c r="B12" s="361"/>
      <c r="C12" s="391"/>
      <c r="D12" s="390"/>
      <c r="E12" s="389"/>
      <c r="F12" s="273"/>
      <c r="G12" s="274"/>
      <c r="H12" s="224" t="s">
        <v>44</v>
      </c>
      <c r="I12" s="46" t="s">
        <v>620</v>
      </c>
      <c r="J12" s="224" t="s">
        <v>44</v>
      </c>
      <c r="K12" s="221" t="s">
        <v>44</v>
      </c>
      <c r="L12" s="119" t="s">
        <v>29</v>
      </c>
      <c r="M12" s="46" t="s">
        <v>620</v>
      </c>
      <c r="N12" s="225" t="s">
        <v>621</v>
      </c>
      <c r="O12" s="129">
        <v>1</v>
      </c>
      <c r="P12" s="129">
        <f t="shared" si="0"/>
        <v>1</v>
      </c>
      <c r="Q12" s="129">
        <f t="shared" si="1"/>
        <v>2</v>
      </c>
      <c r="R12" s="223">
        <f>7.85*$Q$8</f>
        <v>15.7</v>
      </c>
      <c r="S12" s="170" t="s">
        <v>496</v>
      </c>
      <c r="T12" s="52"/>
    </row>
    <row r="13" spans="1:20" ht="14.25" customHeight="1" x14ac:dyDescent="0.2">
      <c r="A13" s="390"/>
      <c r="B13" s="361"/>
      <c r="C13" s="391"/>
      <c r="D13" s="390"/>
      <c r="E13" s="389"/>
      <c r="F13" s="273"/>
      <c r="G13" s="274"/>
      <c r="H13" s="224" t="s">
        <v>44</v>
      </c>
      <c r="I13" s="46" t="s">
        <v>622</v>
      </c>
      <c r="J13" s="224" t="s">
        <v>44</v>
      </c>
      <c r="K13" s="221" t="s">
        <v>44</v>
      </c>
      <c r="L13" s="119" t="s">
        <v>32</v>
      </c>
      <c r="M13" s="46" t="s">
        <v>622</v>
      </c>
      <c r="N13" s="225" t="s">
        <v>621</v>
      </c>
      <c r="O13" s="129">
        <v>1</v>
      </c>
      <c r="P13" s="129">
        <f t="shared" si="0"/>
        <v>1</v>
      </c>
      <c r="Q13" s="129">
        <f t="shared" si="1"/>
        <v>2</v>
      </c>
      <c r="R13" s="223">
        <f t="shared" ref="R13:R15" si="3">7.85*$Q$8</f>
        <v>15.7</v>
      </c>
      <c r="S13" s="170" t="s">
        <v>496</v>
      </c>
      <c r="T13" s="52"/>
    </row>
    <row r="14" spans="1:20" ht="14.25" customHeight="1" x14ac:dyDescent="0.2">
      <c r="A14" s="390"/>
      <c r="B14" s="361"/>
      <c r="C14" s="391"/>
      <c r="D14" s="390"/>
      <c r="E14" s="389"/>
      <c r="F14" s="273"/>
      <c r="G14" s="274"/>
      <c r="H14" s="224" t="s">
        <v>44</v>
      </c>
      <c r="I14" s="46" t="s">
        <v>623</v>
      </c>
      <c r="J14" s="224" t="s">
        <v>44</v>
      </c>
      <c r="K14" s="221" t="s">
        <v>44</v>
      </c>
      <c r="L14" s="119" t="s">
        <v>35</v>
      </c>
      <c r="M14" s="46" t="s">
        <v>623</v>
      </c>
      <c r="N14" s="225" t="s">
        <v>621</v>
      </c>
      <c r="O14" s="129">
        <v>1</v>
      </c>
      <c r="P14" s="129">
        <f t="shared" si="0"/>
        <v>1</v>
      </c>
      <c r="Q14" s="129">
        <f t="shared" si="1"/>
        <v>2</v>
      </c>
      <c r="R14" s="223">
        <f t="shared" si="3"/>
        <v>15.7</v>
      </c>
      <c r="S14" s="170" t="s">
        <v>496</v>
      </c>
      <c r="T14" s="52"/>
    </row>
    <row r="15" spans="1:20" ht="14.25" customHeight="1" x14ac:dyDescent="0.2">
      <c r="A15" s="390"/>
      <c r="B15" s="361"/>
      <c r="C15" s="391"/>
      <c r="D15" s="390"/>
      <c r="E15" s="389"/>
      <c r="F15" s="273"/>
      <c r="G15" s="274"/>
      <c r="H15" s="224" t="s">
        <v>44</v>
      </c>
      <c r="I15" s="46" t="s">
        <v>624</v>
      </c>
      <c r="J15" s="224" t="s">
        <v>44</v>
      </c>
      <c r="K15" s="221" t="s">
        <v>44</v>
      </c>
      <c r="L15" s="119" t="s">
        <v>37</v>
      </c>
      <c r="M15" s="46" t="s">
        <v>624</v>
      </c>
      <c r="N15" s="225" t="s">
        <v>621</v>
      </c>
      <c r="O15" s="129">
        <v>1</v>
      </c>
      <c r="P15" s="129">
        <f t="shared" si="0"/>
        <v>1</v>
      </c>
      <c r="Q15" s="129">
        <f t="shared" si="1"/>
        <v>2</v>
      </c>
      <c r="R15" s="223">
        <f t="shared" si="3"/>
        <v>15.7</v>
      </c>
      <c r="S15" s="170" t="s">
        <v>496</v>
      </c>
      <c r="T15" s="52"/>
    </row>
    <row r="16" spans="1:20" ht="14.25" customHeight="1" x14ac:dyDescent="0.2">
      <c r="A16" s="390"/>
      <c r="B16" s="361"/>
      <c r="C16" s="391"/>
      <c r="D16" s="390"/>
      <c r="E16" s="389"/>
      <c r="F16" s="273"/>
      <c r="G16" s="274"/>
      <c r="H16" s="221" t="s">
        <v>44</v>
      </c>
      <c r="I16" s="206" t="s">
        <v>625</v>
      </c>
      <c r="J16" s="221" t="s">
        <v>44</v>
      </c>
      <c r="K16" s="221" t="s">
        <v>44</v>
      </c>
      <c r="L16" s="47" t="s">
        <v>40</v>
      </c>
      <c r="M16" s="206" t="s">
        <v>625</v>
      </c>
      <c r="N16" s="117" t="s">
        <v>626</v>
      </c>
      <c r="O16" s="129" t="str">
        <f>IF(B8=30,"4",IF(B8=25,"0",IF(B8=20,"0",IF(B8=15,"0"))))</f>
        <v>0</v>
      </c>
      <c r="P16" s="129">
        <f t="shared" si="0"/>
        <v>0</v>
      </c>
      <c r="Q16" s="129">
        <f t="shared" si="1"/>
        <v>0</v>
      </c>
      <c r="R16" s="223">
        <f>Q16*4.38</f>
        <v>0</v>
      </c>
      <c r="S16" s="170" t="s">
        <v>496</v>
      </c>
      <c r="T16" s="52"/>
    </row>
    <row r="17" spans="1:28" ht="14.25" customHeight="1" x14ac:dyDescent="0.2">
      <c r="A17" s="390"/>
      <c r="B17" s="361"/>
      <c r="C17" s="391"/>
      <c r="D17" s="390"/>
      <c r="E17" s="389"/>
      <c r="F17" s="273"/>
      <c r="G17" s="274"/>
      <c r="H17" s="384" t="s">
        <v>250</v>
      </c>
      <c r="I17" s="384" t="s">
        <v>627</v>
      </c>
      <c r="J17" s="384" t="s">
        <v>21</v>
      </c>
      <c r="K17" s="386">
        <f>J17*G8</f>
        <v>4</v>
      </c>
      <c r="L17" s="119" t="s">
        <v>19</v>
      </c>
      <c r="M17" s="46" t="s">
        <v>628</v>
      </c>
      <c r="N17" s="117" t="s">
        <v>629</v>
      </c>
      <c r="O17" s="129">
        <v>2</v>
      </c>
      <c r="P17" s="129">
        <f t="shared" si="0"/>
        <v>2</v>
      </c>
      <c r="Q17" s="129">
        <f t="shared" si="1"/>
        <v>4</v>
      </c>
      <c r="R17" s="223">
        <f>Q17*0.1</f>
        <v>0.4</v>
      </c>
      <c r="S17" s="170" t="s">
        <v>496</v>
      </c>
      <c r="T17" s="52"/>
    </row>
    <row r="18" spans="1:28" ht="14.25" customHeight="1" x14ac:dyDescent="0.2">
      <c r="A18" s="390"/>
      <c r="B18" s="361"/>
      <c r="C18" s="391"/>
      <c r="D18" s="390"/>
      <c r="E18" s="389"/>
      <c r="F18" s="273"/>
      <c r="G18" s="274"/>
      <c r="H18" s="350"/>
      <c r="I18" s="350"/>
      <c r="J18" s="350"/>
      <c r="K18" s="352"/>
      <c r="L18" s="47" t="s">
        <v>21</v>
      </c>
      <c r="M18" s="46" t="s">
        <v>630</v>
      </c>
      <c r="N18" s="117" t="s">
        <v>631</v>
      </c>
      <c r="O18" s="129">
        <v>2</v>
      </c>
      <c r="P18" s="129">
        <f t="shared" si="0"/>
        <v>2</v>
      </c>
      <c r="Q18" s="129">
        <f t="shared" si="1"/>
        <v>4</v>
      </c>
      <c r="R18" s="223">
        <f>11.3*Q18</f>
        <v>45.2</v>
      </c>
      <c r="S18" s="170" t="s">
        <v>496</v>
      </c>
      <c r="T18" s="52"/>
    </row>
    <row r="19" spans="1:28" ht="14.25" customHeight="1" x14ac:dyDescent="0.2">
      <c r="A19" s="390"/>
      <c r="B19" s="361"/>
      <c r="C19" s="391"/>
      <c r="D19" s="390"/>
      <c r="E19" s="389"/>
      <c r="F19" s="273"/>
      <c r="G19" s="274"/>
      <c r="H19" s="384" t="s">
        <v>255</v>
      </c>
      <c r="I19" s="384" t="s">
        <v>632</v>
      </c>
      <c r="J19" s="384">
        <v>1</v>
      </c>
      <c r="K19" s="386">
        <f>J19*G8</f>
        <v>2</v>
      </c>
      <c r="L19" s="47" t="s">
        <v>19</v>
      </c>
      <c r="M19" s="46" t="s">
        <v>633</v>
      </c>
      <c r="N19" s="117" t="s">
        <v>302</v>
      </c>
      <c r="O19" s="129">
        <v>32</v>
      </c>
      <c r="P19" s="129">
        <f t="shared" si="0"/>
        <v>32</v>
      </c>
      <c r="Q19" s="129">
        <f t="shared" si="1"/>
        <v>64</v>
      </c>
      <c r="R19" s="129">
        <f t="shared" si="1"/>
        <v>128</v>
      </c>
      <c r="S19" s="170" t="s">
        <v>518</v>
      </c>
      <c r="T19" s="52"/>
    </row>
    <row r="20" spans="1:28" ht="14.25" customHeight="1" x14ac:dyDescent="0.2">
      <c r="A20" s="390"/>
      <c r="B20" s="361"/>
      <c r="C20" s="391"/>
      <c r="D20" s="390"/>
      <c r="E20" s="389"/>
      <c r="F20" s="273"/>
      <c r="G20" s="274"/>
      <c r="H20" s="349"/>
      <c r="I20" s="349"/>
      <c r="J20" s="349"/>
      <c r="K20" s="351"/>
      <c r="L20" s="119" t="s">
        <v>21</v>
      </c>
      <c r="M20" s="46" t="s">
        <v>634</v>
      </c>
      <c r="N20" s="117" t="s">
        <v>546</v>
      </c>
      <c r="O20" s="129">
        <v>32</v>
      </c>
      <c r="P20" s="129">
        <f t="shared" si="0"/>
        <v>32</v>
      </c>
      <c r="Q20" s="129">
        <f t="shared" si="1"/>
        <v>64</v>
      </c>
      <c r="R20" s="129">
        <f t="shared" si="1"/>
        <v>128</v>
      </c>
      <c r="S20" s="170" t="s">
        <v>518</v>
      </c>
      <c r="T20" s="52"/>
    </row>
    <row r="21" spans="1:28" ht="14.25" customHeight="1" x14ac:dyDescent="0.2">
      <c r="A21" s="390"/>
      <c r="B21" s="361"/>
      <c r="C21" s="391"/>
      <c r="D21" s="390"/>
      <c r="E21" s="389"/>
      <c r="F21" s="273"/>
      <c r="G21" s="274"/>
      <c r="H21" s="349"/>
      <c r="I21" s="349"/>
      <c r="J21" s="349"/>
      <c r="K21" s="351"/>
      <c r="L21" s="47" t="s">
        <v>23</v>
      </c>
      <c r="M21" s="46" t="s">
        <v>635</v>
      </c>
      <c r="N21" s="226" t="s">
        <v>302</v>
      </c>
      <c r="O21" s="157">
        <v>2</v>
      </c>
      <c r="P21" s="129">
        <f t="shared" si="0"/>
        <v>2</v>
      </c>
      <c r="Q21" s="129">
        <f t="shared" si="1"/>
        <v>4</v>
      </c>
      <c r="R21" s="129">
        <f t="shared" si="1"/>
        <v>8</v>
      </c>
      <c r="S21" s="177" t="s">
        <v>518</v>
      </c>
      <c r="T21" s="52"/>
      <c r="U21" s="55"/>
      <c r="V21" s="56"/>
      <c r="W21" s="227"/>
      <c r="X21" s="56"/>
      <c r="Y21" s="56"/>
      <c r="Z21" s="56"/>
      <c r="AA21" s="56"/>
      <c r="AB21" s="56"/>
    </row>
    <row r="22" spans="1:28" ht="14.25" customHeight="1" x14ac:dyDescent="0.2">
      <c r="A22" s="390"/>
      <c r="B22" s="361"/>
      <c r="C22" s="391"/>
      <c r="D22" s="390"/>
      <c r="E22" s="389"/>
      <c r="F22" s="273"/>
      <c r="G22" s="274"/>
      <c r="H22" s="349"/>
      <c r="I22" s="349"/>
      <c r="J22" s="349"/>
      <c r="K22" s="351"/>
      <c r="L22" s="47" t="s">
        <v>26</v>
      </c>
      <c r="M22" s="46" t="s">
        <v>636</v>
      </c>
      <c r="N22" s="117" t="s">
        <v>546</v>
      </c>
      <c r="O22" s="129">
        <v>2</v>
      </c>
      <c r="P22" s="129">
        <f t="shared" si="0"/>
        <v>2</v>
      </c>
      <c r="Q22" s="129">
        <f t="shared" si="1"/>
        <v>4</v>
      </c>
      <c r="R22" s="129">
        <f t="shared" si="1"/>
        <v>8</v>
      </c>
      <c r="S22" s="170" t="s">
        <v>518</v>
      </c>
      <c r="T22" s="52"/>
      <c r="U22" s="55"/>
      <c r="V22" s="227"/>
      <c r="W22" s="227"/>
      <c r="X22" s="56"/>
      <c r="Y22" s="56"/>
      <c r="Z22" s="56"/>
      <c r="AA22" s="56"/>
      <c r="AB22" s="56"/>
    </row>
    <row r="23" spans="1:28" ht="14.25" customHeight="1" x14ac:dyDescent="0.2">
      <c r="A23" s="390"/>
      <c r="B23" s="361"/>
      <c r="C23" s="391"/>
      <c r="D23" s="390"/>
      <c r="E23" s="389"/>
      <c r="F23" s="273"/>
      <c r="G23" s="274"/>
      <c r="H23" s="349"/>
      <c r="I23" s="349"/>
      <c r="J23" s="349"/>
      <c r="K23" s="351"/>
      <c r="L23" s="47" t="s">
        <v>29</v>
      </c>
      <c r="M23" s="206" t="s">
        <v>637</v>
      </c>
      <c r="N23" s="117" t="s">
        <v>555</v>
      </c>
      <c r="O23" s="129">
        <v>40</v>
      </c>
      <c r="P23" s="129">
        <f t="shared" si="0"/>
        <v>40</v>
      </c>
      <c r="Q23" s="129">
        <f t="shared" si="1"/>
        <v>80</v>
      </c>
      <c r="R23" s="129">
        <f t="shared" si="1"/>
        <v>160</v>
      </c>
      <c r="S23" s="170" t="s">
        <v>518</v>
      </c>
      <c r="T23" s="52"/>
    </row>
    <row r="24" spans="1:28" ht="14.25" customHeight="1" x14ac:dyDescent="0.2">
      <c r="A24" s="390"/>
      <c r="B24" s="362"/>
      <c r="C24" s="391"/>
      <c r="D24" s="390"/>
      <c r="E24" s="389"/>
      <c r="F24" s="273"/>
      <c r="G24" s="274"/>
      <c r="H24" s="350"/>
      <c r="I24" s="350"/>
      <c r="J24" s="350"/>
      <c r="K24" s="352"/>
      <c r="L24" s="119" t="s">
        <v>32</v>
      </c>
      <c r="M24" s="206" t="s">
        <v>638</v>
      </c>
      <c r="N24" s="117" t="s">
        <v>639</v>
      </c>
      <c r="O24" s="129">
        <v>40</v>
      </c>
      <c r="P24" s="129">
        <f t="shared" si="0"/>
        <v>40</v>
      </c>
      <c r="Q24" s="129">
        <f t="shared" si="1"/>
        <v>80</v>
      </c>
      <c r="R24" s="129">
        <f t="shared" si="1"/>
        <v>160</v>
      </c>
      <c r="S24" s="170" t="s">
        <v>518</v>
      </c>
      <c r="T24" s="52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zoomScale="115" zoomScaleNormal="100" zoomScalePageLayoutView="115" workbookViewId="0">
      <selection activeCell="C7" sqref="C7"/>
    </sheetView>
  </sheetViews>
  <sheetFormatPr defaultRowHeight="14.25" x14ac:dyDescent="0.2"/>
  <cols>
    <col min="1" max="1" width="5.375" customWidth="1"/>
    <col min="2" max="2" width="5.25" customWidth="1"/>
    <col min="3" max="4" width="5.125" customWidth="1"/>
    <col min="5" max="5" width="3.75" customWidth="1"/>
    <col min="6" max="6" width="5.375" customWidth="1"/>
    <col min="7" max="8" width="5.125" customWidth="1"/>
    <col min="9" max="9" width="10.8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25" customWidth="1"/>
    <col min="16" max="16" width="5.375" customWidth="1"/>
    <col min="17" max="17" width="5.125" customWidth="1"/>
    <col min="18" max="18" width="4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4.5" customHeight="1" x14ac:dyDescent="0.2"/>
    <row r="6" spans="1:20" ht="19.5" x14ac:dyDescent="0.2">
      <c r="A6" s="259" t="s">
        <v>0</v>
      </c>
      <c r="B6" s="260"/>
      <c r="C6" s="26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492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3.5" customHeight="1" x14ac:dyDescent="0.2">
      <c r="A8" s="270" t="s">
        <v>335</v>
      </c>
      <c r="B8" s="274">
        <f>'درام روتاری'!B8</f>
        <v>15</v>
      </c>
      <c r="C8" s="274">
        <v>1</v>
      </c>
      <c r="D8" s="270" t="s">
        <v>249</v>
      </c>
      <c r="E8" s="345" t="s">
        <v>640</v>
      </c>
      <c r="F8" s="273" t="s">
        <v>19</v>
      </c>
      <c r="G8" s="274">
        <v>1</v>
      </c>
      <c r="H8" s="392" t="s">
        <v>250</v>
      </c>
      <c r="I8" s="395" t="s">
        <v>641</v>
      </c>
      <c r="J8" s="289">
        <v>1</v>
      </c>
      <c r="K8" s="295">
        <f>J8*G8</f>
        <v>1</v>
      </c>
      <c r="L8" s="47" t="s">
        <v>19</v>
      </c>
      <c r="M8" s="8" t="s">
        <v>641</v>
      </c>
      <c r="N8" s="78" t="s">
        <v>642</v>
      </c>
      <c r="O8" s="78">
        <v>1</v>
      </c>
      <c r="P8" s="180">
        <f>O8*$F$8</f>
        <v>1</v>
      </c>
      <c r="Q8" s="180">
        <f>P8*$C$8</f>
        <v>1</v>
      </c>
      <c r="R8" s="228">
        <f>Q8*0.51</f>
        <v>0.51</v>
      </c>
      <c r="S8" s="51" t="s">
        <v>496</v>
      </c>
      <c r="T8" s="53"/>
    </row>
    <row r="9" spans="1:20" ht="13.5" customHeight="1" x14ac:dyDescent="0.2">
      <c r="A9" s="270"/>
      <c r="B9" s="274"/>
      <c r="C9" s="274"/>
      <c r="D9" s="270"/>
      <c r="E9" s="345"/>
      <c r="F9" s="273"/>
      <c r="G9" s="274"/>
      <c r="H9" s="393"/>
      <c r="I9" s="376"/>
      <c r="J9" s="290"/>
      <c r="K9" s="296"/>
      <c r="L9" s="47" t="s">
        <v>21</v>
      </c>
      <c r="M9" s="229" t="s">
        <v>643</v>
      </c>
      <c r="N9" s="88" t="s">
        <v>644</v>
      </c>
      <c r="O9" s="88">
        <v>2</v>
      </c>
      <c r="P9" s="180">
        <f t="shared" ref="P9:P26" si="0">O9*$F$8</f>
        <v>2</v>
      </c>
      <c r="Q9" s="180">
        <f t="shared" ref="Q9:R25" si="1">P9*$C$8</f>
        <v>2</v>
      </c>
      <c r="R9" s="180">
        <f t="shared" si="1"/>
        <v>2</v>
      </c>
      <c r="S9" s="51" t="s">
        <v>518</v>
      </c>
      <c r="T9" s="53"/>
    </row>
    <row r="10" spans="1:20" ht="13.5" customHeight="1" x14ac:dyDescent="0.2">
      <c r="A10" s="270"/>
      <c r="B10" s="274"/>
      <c r="C10" s="274"/>
      <c r="D10" s="270"/>
      <c r="E10" s="345"/>
      <c r="F10" s="273"/>
      <c r="G10" s="274"/>
      <c r="H10" s="393"/>
      <c r="I10" s="376"/>
      <c r="J10" s="290"/>
      <c r="K10" s="296"/>
      <c r="L10" s="47" t="s">
        <v>23</v>
      </c>
      <c r="M10" s="229" t="s">
        <v>645</v>
      </c>
      <c r="N10" s="88" t="s">
        <v>646</v>
      </c>
      <c r="O10" s="88">
        <v>1</v>
      </c>
      <c r="P10" s="180">
        <f t="shared" si="0"/>
        <v>1</v>
      </c>
      <c r="Q10" s="180">
        <f t="shared" si="1"/>
        <v>1</v>
      </c>
      <c r="R10" s="180">
        <f t="shared" si="1"/>
        <v>1</v>
      </c>
      <c r="S10" s="51" t="s">
        <v>518</v>
      </c>
      <c r="T10" s="53"/>
    </row>
    <row r="11" spans="1:20" ht="13.5" customHeight="1" x14ac:dyDescent="0.2">
      <c r="A11" s="270"/>
      <c r="B11" s="274"/>
      <c r="C11" s="274"/>
      <c r="D11" s="270"/>
      <c r="E11" s="345"/>
      <c r="F11" s="273"/>
      <c r="G11" s="274"/>
      <c r="H11" s="393"/>
      <c r="I11" s="376"/>
      <c r="J11" s="290"/>
      <c r="K11" s="296"/>
      <c r="L11" s="47" t="s">
        <v>26</v>
      </c>
      <c r="M11" s="229" t="s">
        <v>647</v>
      </c>
      <c r="N11" s="88" t="s">
        <v>551</v>
      </c>
      <c r="O11" s="88">
        <v>1</v>
      </c>
      <c r="P11" s="180">
        <f t="shared" si="0"/>
        <v>1</v>
      </c>
      <c r="Q11" s="180">
        <f t="shared" si="1"/>
        <v>1</v>
      </c>
      <c r="R11" s="180">
        <f t="shared" si="1"/>
        <v>1</v>
      </c>
      <c r="S11" s="51" t="s">
        <v>518</v>
      </c>
      <c r="T11" s="53"/>
    </row>
    <row r="12" spans="1:20" ht="13.5" customHeight="1" thickBot="1" x14ac:dyDescent="0.25">
      <c r="A12" s="270"/>
      <c r="B12" s="274"/>
      <c r="C12" s="274"/>
      <c r="D12" s="270"/>
      <c r="E12" s="345"/>
      <c r="F12" s="273"/>
      <c r="G12" s="274"/>
      <c r="H12" s="394"/>
      <c r="I12" s="396"/>
      <c r="J12" s="354"/>
      <c r="K12" s="356"/>
      <c r="L12" s="60" t="s">
        <v>29</v>
      </c>
      <c r="M12" s="230" t="s">
        <v>648</v>
      </c>
      <c r="N12" s="231" t="s">
        <v>324</v>
      </c>
      <c r="O12" s="231">
        <v>2</v>
      </c>
      <c r="P12" s="154">
        <f t="shared" si="0"/>
        <v>2</v>
      </c>
      <c r="Q12" s="154">
        <f t="shared" si="1"/>
        <v>2</v>
      </c>
      <c r="R12" s="154">
        <f t="shared" si="1"/>
        <v>2</v>
      </c>
      <c r="S12" s="61" t="s">
        <v>518</v>
      </c>
      <c r="T12" s="96"/>
    </row>
    <row r="13" spans="1:20" ht="13.5" customHeight="1" x14ac:dyDescent="0.2">
      <c r="A13" s="270"/>
      <c r="B13" s="274"/>
      <c r="C13" s="274"/>
      <c r="D13" s="270"/>
      <c r="E13" s="345"/>
      <c r="F13" s="273"/>
      <c r="G13" s="274"/>
      <c r="H13" s="232" t="s">
        <v>44</v>
      </c>
      <c r="I13" s="233" t="s">
        <v>649</v>
      </c>
      <c r="J13" s="118" t="s">
        <v>44</v>
      </c>
      <c r="K13" s="107" t="s">
        <v>44</v>
      </c>
      <c r="L13" s="87" t="s">
        <v>19</v>
      </c>
      <c r="M13" s="233" t="s">
        <v>649</v>
      </c>
      <c r="N13" s="233" t="s">
        <v>650</v>
      </c>
      <c r="O13" s="234">
        <v>1</v>
      </c>
      <c r="P13" s="235">
        <f t="shared" si="0"/>
        <v>1</v>
      </c>
      <c r="Q13" s="235">
        <f t="shared" si="1"/>
        <v>1</v>
      </c>
      <c r="R13" s="236">
        <f>1.5*Q13</f>
        <v>1.5</v>
      </c>
      <c r="S13" s="237" t="s">
        <v>496</v>
      </c>
      <c r="T13" s="105"/>
    </row>
    <row r="14" spans="1:20" ht="13.5" customHeight="1" x14ac:dyDescent="0.2">
      <c r="A14" s="270"/>
      <c r="B14" s="274"/>
      <c r="C14" s="274"/>
      <c r="D14" s="270"/>
      <c r="E14" s="345"/>
      <c r="F14" s="273"/>
      <c r="G14" s="274"/>
      <c r="H14" s="238" t="s">
        <v>44</v>
      </c>
      <c r="I14" s="8" t="s">
        <v>651</v>
      </c>
      <c r="J14" s="48" t="s">
        <v>44</v>
      </c>
      <c r="K14" s="42" t="s">
        <v>44</v>
      </c>
      <c r="L14" s="47" t="s">
        <v>21</v>
      </c>
      <c r="M14" s="8" t="s">
        <v>651</v>
      </c>
      <c r="N14" s="78" t="s">
        <v>652</v>
      </c>
      <c r="O14" s="78">
        <v>1</v>
      </c>
      <c r="P14" s="180">
        <f t="shared" si="0"/>
        <v>1</v>
      </c>
      <c r="Q14" s="180">
        <f t="shared" si="1"/>
        <v>1</v>
      </c>
      <c r="R14" s="228">
        <f>1.2*Q14</f>
        <v>1.2</v>
      </c>
      <c r="S14" s="51" t="s">
        <v>496</v>
      </c>
      <c r="T14" s="53"/>
    </row>
    <row r="15" spans="1:20" ht="13.5" customHeight="1" x14ac:dyDescent="0.2">
      <c r="A15" s="270"/>
      <c r="B15" s="274"/>
      <c r="C15" s="274"/>
      <c r="D15" s="270"/>
      <c r="E15" s="345"/>
      <c r="F15" s="273"/>
      <c r="G15" s="274"/>
      <c r="H15" s="238" t="s">
        <v>44</v>
      </c>
      <c r="I15" s="51" t="s">
        <v>653</v>
      </c>
      <c r="J15" s="48" t="s">
        <v>44</v>
      </c>
      <c r="K15" s="42" t="s">
        <v>44</v>
      </c>
      <c r="L15" s="47" t="s">
        <v>23</v>
      </c>
      <c r="M15" s="51" t="s">
        <v>653</v>
      </c>
      <c r="N15" s="43" t="s">
        <v>654</v>
      </c>
      <c r="O15" s="44">
        <v>1</v>
      </c>
      <c r="P15" s="180">
        <f t="shared" si="0"/>
        <v>1</v>
      </c>
      <c r="Q15" s="180">
        <f t="shared" si="1"/>
        <v>1</v>
      </c>
      <c r="R15" s="180">
        <f t="shared" si="1"/>
        <v>1</v>
      </c>
      <c r="S15" s="51" t="s">
        <v>518</v>
      </c>
      <c r="T15" s="53"/>
    </row>
    <row r="16" spans="1:20" ht="13.5" customHeight="1" thickBot="1" x14ac:dyDescent="0.25">
      <c r="A16" s="270"/>
      <c r="B16" s="274"/>
      <c r="C16" s="274"/>
      <c r="D16" s="270"/>
      <c r="E16" s="345"/>
      <c r="F16" s="273"/>
      <c r="G16" s="274"/>
      <c r="H16" s="239" t="s">
        <v>44</v>
      </c>
      <c r="I16" s="240" t="s">
        <v>655</v>
      </c>
      <c r="J16" s="115" t="s">
        <v>44</v>
      </c>
      <c r="K16" s="116" t="s">
        <v>44</v>
      </c>
      <c r="L16" s="60" t="s">
        <v>26</v>
      </c>
      <c r="M16" s="61" t="s">
        <v>655</v>
      </c>
      <c r="N16" s="241" t="s">
        <v>44</v>
      </c>
      <c r="O16" s="94">
        <v>1</v>
      </c>
      <c r="P16" s="154">
        <f t="shared" si="0"/>
        <v>1</v>
      </c>
      <c r="Q16" s="154">
        <f t="shared" si="1"/>
        <v>1</v>
      </c>
      <c r="R16" s="154">
        <f t="shared" si="1"/>
        <v>1</v>
      </c>
      <c r="S16" s="61" t="s">
        <v>518</v>
      </c>
      <c r="T16" s="96"/>
    </row>
    <row r="17" spans="1:20" ht="13.5" customHeight="1" x14ac:dyDescent="0.2">
      <c r="A17" s="270"/>
      <c r="B17" s="274"/>
      <c r="C17" s="274"/>
      <c r="D17" s="270"/>
      <c r="E17" s="345"/>
      <c r="F17" s="273"/>
      <c r="G17" s="274"/>
      <c r="H17" s="270" t="s">
        <v>255</v>
      </c>
      <c r="I17" s="271" t="s">
        <v>300</v>
      </c>
      <c r="J17" s="270" t="s">
        <v>19</v>
      </c>
      <c r="K17" s="274">
        <v>1</v>
      </c>
      <c r="L17" s="119" t="s">
        <v>19</v>
      </c>
      <c r="M17" s="222" t="s">
        <v>656</v>
      </c>
      <c r="N17" s="242" t="s">
        <v>657</v>
      </c>
      <c r="O17" s="88">
        <v>1</v>
      </c>
      <c r="P17" s="168">
        <f t="shared" si="0"/>
        <v>1</v>
      </c>
      <c r="Q17" s="168">
        <f t="shared" si="1"/>
        <v>1</v>
      </c>
      <c r="R17" s="168">
        <f t="shared" si="1"/>
        <v>1</v>
      </c>
      <c r="S17" s="63" t="s">
        <v>518</v>
      </c>
      <c r="T17" s="105"/>
    </row>
    <row r="18" spans="1:20" ht="13.5" customHeight="1" x14ac:dyDescent="0.2">
      <c r="A18" s="270"/>
      <c r="B18" s="274"/>
      <c r="C18" s="274"/>
      <c r="D18" s="270"/>
      <c r="E18" s="345"/>
      <c r="F18" s="273"/>
      <c r="G18" s="274"/>
      <c r="H18" s="270"/>
      <c r="I18" s="271"/>
      <c r="J18" s="270"/>
      <c r="K18" s="274"/>
      <c r="L18" s="47" t="s">
        <v>21</v>
      </c>
      <c r="M18" s="46" t="s">
        <v>658</v>
      </c>
      <c r="N18" s="206" t="s">
        <v>657</v>
      </c>
      <c r="O18" s="88">
        <v>2</v>
      </c>
      <c r="P18" s="180">
        <f t="shared" si="0"/>
        <v>2</v>
      </c>
      <c r="Q18" s="180">
        <f t="shared" si="1"/>
        <v>2</v>
      </c>
      <c r="R18" s="180">
        <f t="shared" si="1"/>
        <v>2</v>
      </c>
      <c r="S18" s="51" t="s">
        <v>518</v>
      </c>
      <c r="T18" s="53"/>
    </row>
    <row r="19" spans="1:20" ht="13.5" customHeight="1" x14ac:dyDescent="0.2">
      <c r="A19" s="270"/>
      <c r="B19" s="274"/>
      <c r="C19" s="274"/>
      <c r="D19" s="270"/>
      <c r="E19" s="345"/>
      <c r="F19" s="273"/>
      <c r="G19" s="274"/>
      <c r="H19" s="270"/>
      <c r="I19" s="271"/>
      <c r="J19" s="270"/>
      <c r="K19" s="274"/>
      <c r="L19" s="47" t="s">
        <v>23</v>
      </c>
      <c r="M19" s="46" t="s">
        <v>659</v>
      </c>
      <c r="N19" s="206" t="s">
        <v>657</v>
      </c>
      <c r="O19" s="88">
        <v>1</v>
      </c>
      <c r="P19" s="180">
        <f t="shared" si="0"/>
        <v>1</v>
      </c>
      <c r="Q19" s="180">
        <f t="shared" si="1"/>
        <v>1</v>
      </c>
      <c r="R19" s="180">
        <f t="shared" si="1"/>
        <v>1</v>
      </c>
      <c r="S19" s="51" t="s">
        <v>518</v>
      </c>
      <c r="T19" s="53"/>
    </row>
    <row r="20" spans="1:20" ht="13.5" customHeight="1" x14ac:dyDescent="0.2">
      <c r="A20" s="270"/>
      <c r="B20" s="274"/>
      <c r="C20" s="274"/>
      <c r="D20" s="270"/>
      <c r="E20" s="345"/>
      <c r="F20" s="273"/>
      <c r="G20" s="274"/>
      <c r="H20" s="270"/>
      <c r="I20" s="271"/>
      <c r="J20" s="270"/>
      <c r="K20" s="274"/>
      <c r="L20" s="47" t="s">
        <v>26</v>
      </c>
      <c r="M20" s="46" t="s">
        <v>660</v>
      </c>
      <c r="N20" s="206" t="s">
        <v>657</v>
      </c>
      <c r="O20" s="88">
        <v>1</v>
      </c>
      <c r="P20" s="180">
        <f t="shared" si="0"/>
        <v>1</v>
      </c>
      <c r="Q20" s="180">
        <f t="shared" si="1"/>
        <v>1</v>
      </c>
      <c r="R20" s="180">
        <f t="shared" si="1"/>
        <v>1</v>
      </c>
      <c r="S20" s="51" t="s">
        <v>518</v>
      </c>
      <c r="T20" s="53"/>
    </row>
    <row r="21" spans="1:20" ht="13.5" customHeight="1" x14ac:dyDescent="0.2">
      <c r="A21" s="270"/>
      <c r="B21" s="274"/>
      <c r="C21" s="274"/>
      <c r="D21" s="270"/>
      <c r="E21" s="345"/>
      <c r="F21" s="273"/>
      <c r="G21" s="274"/>
      <c r="H21" s="270"/>
      <c r="I21" s="271"/>
      <c r="J21" s="270"/>
      <c r="K21" s="274"/>
      <c r="L21" s="47" t="s">
        <v>29</v>
      </c>
      <c r="M21" s="46" t="s">
        <v>661</v>
      </c>
      <c r="N21" s="117" t="s">
        <v>302</v>
      </c>
      <c r="O21" s="78">
        <v>2</v>
      </c>
      <c r="P21" s="180">
        <f t="shared" si="0"/>
        <v>2</v>
      </c>
      <c r="Q21" s="180">
        <f t="shared" si="1"/>
        <v>2</v>
      </c>
      <c r="R21" s="180">
        <f t="shared" si="1"/>
        <v>2</v>
      </c>
      <c r="S21" s="51" t="s">
        <v>518</v>
      </c>
      <c r="T21" s="53"/>
    </row>
    <row r="22" spans="1:20" ht="13.5" customHeight="1" x14ac:dyDescent="0.2">
      <c r="A22" s="270"/>
      <c r="B22" s="274"/>
      <c r="C22" s="274"/>
      <c r="D22" s="270"/>
      <c r="E22" s="345"/>
      <c r="F22" s="273"/>
      <c r="G22" s="274"/>
      <c r="H22" s="270"/>
      <c r="I22" s="271"/>
      <c r="J22" s="270"/>
      <c r="K22" s="274"/>
      <c r="L22" s="87" t="s">
        <v>32</v>
      </c>
      <c r="M22" s="222" t="s">
        <v>662</v>
      </c>
      <c r="N22" s="226" t="s">
        <v>546</v>
      </c>
      <c r="O22" s="234">
        <v>1</v>
      </c>
      <c r="P22" s="235">
        <f t="shared" si="0"/>
        <v>1</v>
      </c>
      <c r="Q22" s="235">
        <f t="shared" si="1"/>
        <v>1</v>
      </c>
      <c r="R22" s="235">
        <f t="shared" si="1"/>
        <v>1</v>
      </c>
      <c r="S22" s="237" t="s">
        <v>518</v>
      </c>
      <c r="T22" s="53"/>
    </row>
    <row r="23" spans="1:20" ht="13.5" customHeight="1" x14ac:dyDescent="0.2">
      <c r="A23" s="270"/>
      <c r="B23" s="274"/>
      <c r="C23" s="274"/>
      <c r="D23" s="270"/>
      <c r="E23" s="345"/>
      <c r="F23" s="273"/>
      <c r="G23" s="274"/>
      <c r="H23" s="270"/>
      <c r="I23" s="271"/>
      <c r="J23" s="270"/>
      <c r="K23" s="274"/>
      <c r="L23" s="47" t="s">
        <v>35</v>
      </c>
      <c r="M23" s="46" t="s">
        <v>663</v>
      </c>
      <c r="N23" s="117" t="s">
        <v>424</v>
      </c>
      <c r="O23" s="78">
        <v>1</v>
      </c>
      <c r="P23" s="180">
        <f t="shared" si="0"/>
        <v>1</v>
      </c>
      <c r="Q23" s="180">
        <f t="shared" si="1"/>
        <v>1</v>
      </c>
      <c r="R23" s="180">
        <f t="shared" si="1"/>
        <v>1</v>
      </c>
      <c r="S23" s="51" t="s">
        <v>518</v>
      </c>
      <c r="T23" s="53"/>
    </row>
    <row r="24" spans="1:20" ht="13.5" customHeight="1" x14ac:dyDescent="0.2">
      <c r="A24" s="270"/>
      <c r="B24" s="274"/>
      <c r="C24" s="274"/>
      <c r="D24" s="270"/>
      <c r="E24" s="345"/>
      <c r="F24" s="273"/>
      <c r="G24" s="274"/>
      <c r="H24" s="270"/>
      <c r="I24" s="271"/>
      <c r="J24" s="270"/>
      <c r="K24" s="274"/>
      <c r="L24" s="47" t="s">
        <v>37</v>
      </c>
      <c r="M24" s="46" t="s">
        <v>664</v>
      </c>
      <c r="N24" s="117" t="s">
        <v>424</v>
      </c>
      <c r="O24" s="44">
        <v>1</v>
      </c>
      <c r="P24" s="180">
        <f t="shared" si="0"/>
        <v>1</v>
      </c>
      <c r="Q24" s="180">
        <f t="shared" si="1"/>
        <v>1</v>
      </c>
      <c r="R24" s="180">
        <f t="shared" si="1"/>
        <v>1</v>
      </c>
      <c r="S24" s="51" t="s">
        <v>518</v>
      </c>
      <c r="T24" s="53"/>
    </row>
    <row r="25" spans="1:20" ht="13.5" customHeight="1" x14ac:dyDescent="0.2">
      <c r="A25" s="270"/>
      <c r="B25" s="274"/>
      <c r="C25" s="274"/>
      <c r="D25" s="270"/>
      <c r="E25" s="345"/>
      <c r="F25" s="273"/>
      <c r="G25" s="274"/>
      <c r="H25" s="270"/>
      <c r="I25" s="271"/>
      <c r="J25" s="270"/>
      <c r="K25" s="274"/>
      <c r="L25" s="47" t="s">
        <v>40</v>
      </c>
      <c r="M25" s="206" t="s">
        <v>665</v>
      </c>
      <c r="N25" s="206" t="s">
        <v>657</v>
      </c>
      <c r="O25" s="44">
        <v>1</v>
      </c>
      <c r="P25" s="180">
        <f t="shared" si="0"/>
        <v>1</v>
      </c>
      <c r="Q25" s="180">
        <f t="shared" si="1"/>
        <v>1</v>
      </c>
      <c r="R25" s="180">
        <f t="shared" si="1"/>
        <v>1</v>
      </c>
      <c r="S25" s="51" t="s">
        <v>518</v>
      </c>
      <c r="T25" s="53"/>
    </row>
    <row r="26" spans="1:20" ht="13.5" customHeight="1" x14ac:dyDescent="0.2">
      <c r="A26" s="270"/>
      <c r="B26" s="274"/>
      <c r="C26" s="274"/>
      <c r="D26" s="270"/>
      <c r="E26" s="345"/>
      <c r="F26" s="273"/>
      <c r="G26" s="274"/>
      <c r="H26" s="270"/>
      <c r="I26" s="271"/>
      <c r="J26" s="270"/>
      <c r="K26" s="274"/>
      <c r="L26" s="47" t="s">
        <v>51</v>
      </c>
      <c r="M26" s="206" t="s">
        <v>356</v>
      </c>
      <c r="N26" s="78" t="s">
        <v>666</v>
      </c>
      <c r="O26" s="44">
        <v>2</v>
      </c>
      <c r="P26" s="180">
        <f t="shared" si="0"/>
        <v>2</v>
      </c>
      <c r="Q26" s="180">
        <f t="shared" ref="Q26:R26" si="2">P26*$C$8</f>
        <v>2</v>
      </c>
      <c r="R26" s="180">
        <f t="shared" si="2"/>
        <v>2</v>
      </c>
      <c r="S26" s="51" t="s">
        <v>518</v>
      </c>
      <c r="T26" s="53"/>
    </row>
  </sheetData>
  <mergeCells count="16">
    <mergeCell ref="E8:E26"/>
    <mergeCell ref="A6:C6"/>
    <mergeCell ref="A8:A26"/>
    <mergeCell ref="B8:B26"/>
    <mergeCell ref="C8:C26"/>
    <mergeCell ref="D8:D26"/>
    <mergeCell ref="K8:K12"/>
    <mergeCell ref="H17:H26"/>
    <mergeCell ref="I17:I26"/>
    <mergeCell ref="J17:J26"/>
    <mergeCell ref="K17:K26"/>
    <mergeCell ref="F8:F26"/>
    <mergeCell ref="G8:G26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S10"/>
  <sheetViews>
    <sheetView view="pageLayout" zoomScale="160" zoomScaleNormal="100" zoomScalePageLayoutView="160" workbookViewId="0">
      <selection activeCell="E10" sqref="E1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41" t="s">
        <v>244</v>
      </c>
      <c r="E8" s="7"/>
      <c r="F8" s="8"/>
      <c r="G8" s="39"/>
      <c r="H8" s="39"/>
      <c r="I8" s="39"/>
      <c r="J8" s="39"/>
      <c r="K8" s="25" t="s">
        <v>19</v>
      </c>
      <c r="L8" s="22" t="s">
        <v>245</v>
      </c>
      <c r="M8" s="26" t="s">
        <v>44</v>
      </c>
      <c r="N8" s="24">
        <v>2</v>
      </c>
      <c r="O8" s="24">
        <v>2</v>
      </c>
      <c r="P8" s="24">
        <v>2</v>
      </c>
      <c r="Q8" s="23">
        <v>2</v>
      </c>
      <c r="R8" s="23" t="s">
        <v>518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39"/>
      <c r="H9" s="39"/>
      <c r="I9" s="39"/>
      <c r="J9" s="39"/>
      <c r="K9" s="25" t="s">
        <v>21</v>
      </c>
      <c r="L9" s="22" t="s">
        <v>246</v>
      </c>
      <c r="M9" s="33" t="s">
        <v>44</v>
      </c>
      <c r="N9" s="24">
        <v>2</v>
      </c>
      <c r="O9" s="24">
        <v>2</v>
      </c>
      <c r="P9" s="24">
        <v>2</v>
      </c>
      <c r="Q9" s="23">
        <v>2</v>
      </c>
      <c r="R9" s="23" t="s">
        <v>518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39"/>
      <c r="H10" s="39"/>
      <c r="I10" s="39"/>
      <c r="J10" s="39"/>
      <c r="K10" s="25" t="s">
        <v>23</v>
      </c>
      <c r="L10" s="22" t="s">
        <v>247</v>
      </c>
      <c r="M10" s="33" t="s">
        <v>44</v>
      </c>
      <c r="N10" s="24">
        <v>4</v>
      </c>
      <c r="O10" s="24">
        <v>4</v>
      </c>
      <c r="P10" s="24">
        <v>4</v>
      </c>
      <c r="Q10" s="23">
        <v>4</v>
      </c>
      <c r="R10" s="23" t="s">
        <v>518</v>
      </c>
      <c r="S10" s="23" t="s">
        <v>44</v>
      </c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S18"/>
  <sheetViews>
    <sheetView view="pageLayout" topLeftCell="F4" zoomScale="115" zoomScaleNormal="100" zoomScalePageLayoutView="115" workbookViewId="0">
      <selection activeCell="R20" sqref="R2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259" t="s">
        <v>0</v>
      </c>
      <c r="B6" s="26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2</v>
      </c>
      <c r="C8" s="9"/>
      <c r="D8" s="24" t="s">
        <v>243</v>
      </c>
      <c r="E8" s="7"/>
      <c r="F8" s="8"/>
      <c r="G8" s="397"/>
      <c r="H8" s="397" t="s">
        <v>243</v>
      </c>
      <c r="I8" s="397">
        <v>1</v>
      </c>
      <c r="J8" s="397">
        <v>2</v>
      </c>
      <c r="K8" s="25" t="s">
        <v>19</v>
      </c>
      <c r="L8" s="22" t="s">
        <v>229</v>
      </c>
      <c r="M8" s="26" t="s">
        <v>235</v>
      </c>
      <c r="N8" s="24">
        <v>1</v>
      </c>
      <c r="O8" s="24">
        <v>1</v>
      </c>
      <c r="P8" s="23">
        <f t="shared" ref="P8:P15" si="0">O8*2</f>
        <v>2</v>
      </c>
      <c r="Q8" s="23">
        <v>61</v>
      </c>
      <c r="R8" s="23" t="s">
        <v>496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398"/>
      <c r="H9" s="398"/>
      <c r="I9" s="398"/>
      <c r="J9" s="398"/>
      <c r="K9" s="25" t="s">
        <v>21</v>
      </c>
      <c r="L9" s="22" t="s">
        <v>230</v>
      </c>
      <c r="M9" s="33" t="s">
        <v>236</v>
      </c>
      <c r="N9" s="24">
        <v>3</v>
      </c>
      <c r="O9" s="24">
        <v>3</v>
      </c>
      <c r="P9" s="23">
        <f t="shared" si="0"/>
        <v>6</v>
      </c>
      <c r="Q9" s="23">
        <v>25</v>
      </c>
      <c r="R9" s="23" t="s">
        <v>496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398"/>
      <c r="H10" s="398"/>
      <c r="I10" s="398"/>
      <c r="J10" s="398"/>
      <c r="K10" s="25" t="s">
        <v>23</v>
      </c>
      <c r="L10" s="22" t="s">
        <v>231</v>
      </c>
      <c r="M10" s="33" t="s">
        <v>237</v>
      </c>
      <c r="N10" s="24">
        <v>4</v>
      </c>
      <c r="O10" s="24">
        <v>4</v>
      </c>
      <c r="P10" s="23">
        <f t="shared" si="0"/>
        <v>8</v>
      </c>
      <c r="Q10" s="23">
        <v>12</v>
      </c>
      <c r="R10" s="23" t="s">
        <v>496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398"/>
      <c r="H11" s="398"/>
      <c r="I11" s="398"/>
      <c r="J11" s="398"/>
      <c r="K11" s="25" t="s">
        <v>26</v>
      </c>
      <c r="L11" s="36" t="s">
        <v>232</v>
      </c>
      <c r="M11" s="33" t="s">
        <v>242</v>
      </c>
      <c r="N11" s="33">
        <v>2</v>
      </c>
      <c r="O11" s="33">
        <v>2</v>
      </c>
      <c r="P11" s="23">
        <f t="shared" si="0"/>
        <v>4</v>
      </c>
      <c r="Q11" s="23">
        <v>78</v>
      </c>
      <c r="R11" s="23" t="s">
        <v>496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398"/>
      <c r="H12" s="398"/>
      <c r="I12" s="398"/>
      <c r="J12" s="398"/>
      <c r="K12" s="25" t="s">
        <v>29</v>
      </c>
      <c r="L12" s="40" t="s">
        <v>233</v>
      </c>
      <c r="M12" s="33" t="s">
        <v>239</v>
      </c>
      <c r="N12" s="24">
        <v>1</v>
      </c>
      <c r="O12" s="24">
        <v>1</v>
      </c>
      <c r="P12" s="23">
        <f t="shared" si="0"/>
        <v>2</v>
      </c>
      <c r="Q12" s="23">
        <v>40</v>
      </c>
      <c r="R12" s="23" t="s">
        <v>496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398"/>
      <c r="H13" s="398"/>
      <c r="I13" s="398"/>
      <c r="J13" s="398"/>
      <c r="K13" s="25" t="s">
        <v>32</v>
      </c>
      <c r="L13" s="22" t="s">
        <v>148</v>
      </c>
      <c r="M13" s="33" t="s">
        <v>240</v>
      </c>
      <c r="N13" s="24">
        <v>2</v>
      </c>
      <c r="O13" s="24">
        <v>2</v>
      </c>
      <c r="P13" s="23">
        <f t="shared" si="0"/>
        <v>4</v>
      </c>
      <c r="Q13" s="23">
        <v>2.5</v>
      </c>
      <c r="R13" s="23" t="s">
        <v>496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398"/>
      <c r="H14" s="398"/>
      <c r="I14" s="398"/>
      <c r="J14" s="398"/>
      <c r="K14" s="25" t="s">
        <v>35</v>
      </c>
      <c r="L14" s="22" t="s">
        <v>234</v>
      </c>
      <c r="M14" s="33" t="s">
        <v>241</v>
      </c>
      <c r="N14" s="24">
        <v>4</v>
      </c>
      <c r="O14" s="24">
        <v>4</v>
      </c>
      <c r="P14" s="23">
        <f t="shared" si="0"/>
        <v>8</v>
      </c>
      <c r="Q14" s="23">
        <v>12</v>
      </c>
      <c r="R14" s="23" t="s">
        <v>496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398"/>
      <c r="H15" s="398"/>
      <c r="I15" s="398"/>
      <c r="J15" s="398"/>
      <c r="K15" s="25" t="s">
        <v>37</v>
      </c>
      <c r="L15" s="22" t="s">
        <v>38</v>
      </c>
      <c r="M15" s="24" t="s">
        <v>238</v>
      </c>
      <c r="N15" s="24">
        <v>27</v>
      </c>
      <c r="O15" s="24">
        <v>27</v>
      </c>
      <c r="P15" s="23">
        <f t="shared" si="0"/>
        <v>54</v>
      </c>
      <c r="Q15" s="23">
        <v>54</v>
      </c>
      <c r="R15" s="23" t="s">
        <v>518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399"/>
      <c r="H16" s="399"/>
      <c r="I16" s="399"/>
      <c r="J16" s="399"/>
      <c r="K16" s="25" t="s">
        <v>40</v>
      </c>
      <c r="L16" s="22" t="s">
        <v>90</v>
      </c>
      <c r="M16" s="24" t="s">
        <v>238</v>
      </c>
      <c r="N16" s="24">
        <v>27</v>
      </c>
      <c r="O16" s="24">
        <v>27</v>
      </c>
      <c r="P16" s="23">
        <f>O16*2</f>
        <v>54</v>
      </c>
      <c r="Q16" s="23">
        <v>54</v>
      </c>
      <c r="R16" s="23" t="s">
        <v>518</v>
      </c>
      <c r="S16" s="23" t="s">
        <v>44</v>
      </c>
    </row>
    <row r="17" spans="1:19" x14ac:dyDescent="0.2">
      <c r="A17" s="254"/>
      <c r="B17" s="254"/>
      <c r="C17" s="254"/>
      <c r="D17" s="254"/>
      <c r="E17" s="254"/>
      <c r="F17" s="254"/>
      <c r="G17" s="254"/>
      <c r="H17" s="254"/>
      <c r="I17" s="254"/>
      <c r="J17" s="254"/>
      <c r="K17" s="25" t="s">
        <v>51</v>
      </c>
      <c r="L17" s="247" t="s">
        <v>71</v>
      </c>
      <c r="M17" s="24" t="s">
        <v>684</v>
      </c>
      <c r="N17" s="24">
        <v>1</v>
      </c>
      <c r="O17" s="24">
        <v>1</v>
      </c>
      <c r="P17" s="24">
        <v>1</v>
      </c>
      <c r="Q17" s="24">
        <v>1</v>
      </c>
      <c r="R17" s="23" t="s">
        <v>518</v>
      </c>
      <c r="S17" s="23" t="s">
        <v>44</v>
      </c>
    </row>
    <row r="18" spans="1:19" x14ac:dyDescent="0.2">
      <c r="A18" s="254"/>
      <c r="B18" s="254"/>
      <c r="C18" s="254"/>
      <c r="D18" s="254"/>
      <c r="E18" s="254"/>
      <c r="F18" s="254"/>
      <c r="G18" s="254"/>
      <c r="H18" s="254"/>
      <c r="I18" s="254"/>
      <c r="J18" s="254"/>
      <c r="K18" s="25" t="s">
        <v>52</v>
      </c>
      <c r="L18" s="247" t="s">
        <v>71</v>
      </c>
      <c r="M18" s="24" t="s">
        <v>685</v>
      </c>
      <c r="N18" s="24">
        <v>1</v>
      </c>
      <c r="O18" s="24">
        <v>1</v>
      </c>
      <c r="P18" s="24">
        <v>1</v>
      </c>
      <c r="Q18" s="24">
        <v>1</v>
      </c>
      <c r="R18" s="23" t="s">
        <v>518</v>
      </c>
      <c r="S18" s="23" t="s">
        <v>44</v>
      </c>
    </row>
  </sheetData>
  <mergeCells count="5">
    <mergeCell ref="J8:J16"/>
    <mergeCell ref="I8:I16"/>
    <mergeCell ref="H8:H16"/>
    <mergeCell ref="G8:G16"/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Vacuum Cleaner 3400</vt:lpstr>
      <vt:lpstr>Dust Collector</vt:lpstr>
      <vt:lpstr>درام روتاری</vt:lpstr>
      <vt:lpstr>پایه ثابت روتاری</vt:lpstr>
      <vt:lpstr>پایه متحرک روتاری</vt:lpstr>
      <vt:lpstr>قاب روتاری</vt:lpstr>
      <vt:lpstr>سیستم محرک روتاری</vt:lpstr>
      <vt:lpstr>Insurment</vt:lpstr>
      <vt:lpstr>Fan Case</vt:lpstr>
      <vt:lpstr>Damper</vt:lpstr>
      <vt:lpstr>Coil</vt:lpstr>
      <vt:lpstr>Static Water Filter</vt:lpstr>
      <vt:lpstr>Pumping</vt:lpstr>
      <vt:lpstr>Ventilatin Door</vt:lpstr>
      <vt:lpstr>Nozzle Bank</vt:lpstr>
      <vt:lpstr>Eliminator</vt:lpstr>
      <vt:lpstr>Air Baffle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2019-02-13T06:42:41Z</dcterms:modified>
</cp:coreProperties>
</file>