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75" windowWidth="11340" windowHeight="6030" tabRatio="612" activeTab="1"/>
  </bookViews>
  <sheets>
    <sheet name="Input" sheetId="1" r:id="rId1"/>
    <sheet name="Pipe Fittings" sheetId="4" r:id="rId2"/>
    <sheet name="Inline Accessories" sheetId="7" r:id="rId3"/>
    <sheet name="Calculations" sheetId="3" r:id="rId4"/>
    <sheet name="Result" sheetId="6" r:id="rId5"/>
  </sheets>
  <calcPr calcId="125725"/>
</workbook>
</file>

<file path=xl/calcChain.xml><?xml version="1.0" encoding="utf-8"?>
<calcChain xmlns="http://schemas.openxmlformats.org/spreadsheetml/2006/main">
  <c r="H4" i="3"/>
  <c r="J8" s="1"/>
  <c r="I4"/>
  <c r="K43" s="1"/>
  <c r="J43" s="1"/>
  <c r="I42"/>
  <c r="F43"/>
  <c r="F44"/>
  <c r="E44" s="1"/>
  <c r="H7" i="1"/>
  <c r="F6" i="3" s="1"/>
  <c r="H10" i="1"/>
  <c r="H11"/>
  <c r="H13"/>
  <c r="I13"/>
  <c r="O4" i="4" s="1"/>
  <c r="K16" i="1"/>
  <c r="F17"/>
  <c r="K17"/>
  <c r="F13" i="7"/>
  <c r="F17" i="3" s="1"/>
  <c r="F46" i="6" s="1"/>
  <c r="F47" s="1"/>
  <c r="T5" i="4"/>
  <c r="T6" s="1"/>
  <c r="T8" s="1"/>
  <c r="S43"/>
  <c r="S44"/>
  <c r="D5" i="6"/>
  <c r="D6"/>
  <c r="D7"/>
  <c r="D8"/>
  <c r="D9"/>
  <c r="D10"/>
  <c r="D11"/>
  <c r="D12"/>
  <c r="D16"/>
  <c r="D17"/>
  <c r="I17"/>
  <c r="D18"/>
  <c r="I18"/>
  <c r="D19"/>
  <c r="I19"/>
  <c r="D20"/>
  <c r="I20"/>
  <c r="D21"/>
  <c r="I21"/>
  <c r="D22"/>
  <c r="I22"/>
  <c r="D23"/>
  <c r="I23"/>
  <c r="D24"/>
  <c r="I25"/>
  <c r="I26"/>
  <c r="D27"/>
  <c r="I27"/>
  <c r="D28"/>
  <c r="I28"/>
  <c r="D29"/>
  <c r="I29"/>
  <c r="D30"/>
  <c r="I30"/>
  <c r="I31"/>
  <c r="I32"/>
  <c r="D33"/>
  <c r="I33"/>
  <c r="D34"/>
  <c r="I34"/>
  <c r="D35"/>
  <c r="I35"/>
  <c r="B39"/>
  <c r="F39"/>
  <c r="B40"/>
  <c r="F40"/>
  <c r="B41"/>
  <c r="F41"/>
  <c r="B42"/>
  <c r="F42"/>
  <c r="B43"/>
  <c r="F43"/>
  <c r="B44"/>
  <c r="F44"/>
  <c r="B45"/>
  <c r="F45"/>
  <c r="K8" i="3" l="1"/>
  <c r="I8" s="1"/>
  <c r="F9"/>
  <c r="D51" i="6" s="1"/>
  <c r="T10" i="4"/>
  <c r="Q7"/>
  <c r="Q8"/>
  <c r="Q9"/>
  <c r="Q10"/>
  <c r="Q11"/>
  <c r="Q12"/>
  <c r="Q13"/>
  <c r="Q14"/>
  <c r="Q15"/>
  <c r="Q16"/>
  <c r="Q17"/>
  <c r="Q18"/>
  <c r="Q19"/>
  <c r="Q20"/>
  <c r="Q21"/>
  <c r="Q22"/>
  <c r="Q25"/>
  <c r="Q26"/>
  <c r="Q27"/>
  <c r="Q28"/>
  <c r="Q29"/>
  <c r="Q30"/>
  <c r="Q31"/>
  <c r="Q34"/>
  <c r="Q35"/>
  <c r="Q36"/>
  <c r="Q37"/>
  <c r="Q38"/>
  <c r="Q39"/>
  <c r="Q40"/>
  <c r="Q41"/>
  <c r="Q42"/>
  <c r="Q43"/>
  <c r="Q44"/>
  <c r="F7" i="3"/>
  <c r="S5" i="4" s="1"/>
  <c r="H8" i="3"/>
  <c r="T34" i="4"/>
  <c r="T26"/>
  <c r="T25"/>
  <c r="T7"/>
  <c r="F8" i="3" l="1"/>
  <c r="T27" i="4"/>
  <c r="T9"/>
  <c r="T12"/>
  <c r="S25"/>
  <c r="S27" s="1"/>
  <c r="S29" s="1"/>
  <c r="S31" s="1"/>
  <c r="S6"/>
  <c r="S7"/>
  <c r="S9" s="1"/>
  <c r="S11" s="1"/>
  <c r="S13" s="1"/>
  <c r="S15" s="1"/>
  <c r="S17" s="1"/>
  <c r="S19" s="1"/>
  <c r="S21" s="1"/>
  <c r="S34"/>
  <c r="S36" s="1"/>
  <c r="S38" s="1"/>
  <c r="S40" s="1"/>
  <c r="S42" s="1"/>
  <c r="S26"/>
  <c r="S28" s="1"/>
  <c r="S30" s="1"/>
  <c r="F10" i="3"/>
  <c r="D50" i="6"/>
  <c r="C10" i="3"/>
  <c r="O3" i="4"/>
  <c r="F38" i="3"/>
  <c r="T35" i="4"/>
  <c r="T36"/>
  <c r="T28"/>
  <c r="T14" l="1"/>
  <c r="T29"/>
  <c r="T38"/>
  <c r="I43" i="3"/>
  <c r="K41" s="1"/>
  <c r="C41"/>
  <c r="E43"/>
  <c r="G41" s="1"/>
  <c r="F13" s="1"/>
  <c r="F14" s="1"/>
  <c r="F15" s="1"/>
  <c r="T30" i="4"/>
  <c r="T37"/>
  <c r="P7"/>
  <c r="R7" s="1"/>
  <c r="U7" s="1"/>
  <c r="I7" s="1"/>
  <c r="J7" s="1"/>
  <c r="P8"/>
  <c r="R8" s="1"/>
  <c r="P9"/>
  <c r="R9" s="1"/>
  <c r="P10"/>
  <c r="R10" s="1"/>
  <c r="P11"/>
  <c r="R11" s="1"/>
  <c r="P12"/>
  <c r="R12" s="1"/>
  <c r="P13"/>
  <c r="R13" s="1"/>
  <c r="P14"/>
  <c r="R14" s="1"/>
  <c r="P15"/>
  <c r="R15" s="1"/>
  <c r="P16"/>
  <c r="R16" s="1"/>
  <c r="P17"/>
  <c r="R17" s="1"/>
  <c r="P18"/>
  <c r="R18" s="1"/>
  <c r="P19"/>
  <c r="R19" s="1"/>
  <c r="P20"/>
  <c r="R20" s="1"/>
  <c r="P21"/>
  <c r="R21" s="1"/>
  <c r="P22"/>
  <c r="R22" s="1"/>
  <c r="P25"/>
  <c r="R25" s="1"/>
  <c r="U25" s="1"/>
  <c r="I25" s="1"/>
  <c r="J25" s="1"/>
  <c r="P26"/>
  <c r="R26" s="1"/>
  <c r="U26" s="1"/>
  <c r="I26" s="1"/>
  <c r="J26" s="1"/>
  <c r="P27"/>
  <c r="R27" s="1"/>
  <c r="U27" s="1"/>
  <c r="I27" s="1"/>
  <c r="J27" s="1"/>
  <c r="P28"/>
  <c r="R28" s="1"/>
  <c r="U28" s="1"/>
  <c r="I28" s="1"/>
  <c r="J28" s="1"/>
  <c r="P29"/>
  <c r="R29" s="1"/>
  <c r="P30"/>
  <c r="R30" s="1"/>
  <c r="P31"/>
  <c r="R31" s="1"/>
  <c r="P34"/>
  <c r="R34" s="1"/>
  <c r="U34" s="1"/>
  <c r="I34" s="1"/>
  <c r="J34" s="1"/>
  <c r="P35"/>
  <c r="R35" s="1"/>
  <c r="P36"/>
  <c r="R36" s="1"/>
  <c r="U36" s="1"/>
  <c r="I36" s="1"/>
  <c r="J36" s="1"/>
  <c r="P37"/>
  <c r="R37" s="1"/>
  <c r="P38"/>
  <c r="R38" s="1"/>
  <c r="P39"/>
  <c r="R39" s="1"/>
  <c r="P40"/>
  <c r="R40" s="1"/>
  <c r="P41"/>
  <c r="R41" s="1"/>
  <c r="P42"/>
  <c r="R42" s="1"/>
  <c r="P43"/>
  <c r="R43" s="1"/>
  <c r="P44"/>
  <c r="R44" s="1"/>
  <c r="D49" i="6"/>
  <c r="B11" i="3"/>
  <c r="S35" i="4"/>
  <c r="S37" s="1"/>
  <c r="S39" s="1"/>
  <c r="S41" s="1"/>
  <c r="S8"/>
  <c r="S10" s="1"/>
  <c r="S12" s="1"/>
  <c r="S14" s="1"/>
  <c r="S16" s="1"/>
  <c r="S18" s="1"/>
  <c r="S20" s="1"/>
  <c r="S22" s="1"/>
  <c r="U9"/>
  <c r="I9" s="1"/>
  <c r="J9" s="1"/>
  <c r="T11"/>
  <c r="U12" l="1"/>
  <c r="I12" s="1"/>
  <c r="J12" s="1"/>
  <c r="U10"/>
  <c r="I10" s="1"/>
  <c r="J10" s="1"/>
  <c r="U35"/>
  <c r="I35" s="1"/>
  <c r="J35" s="1"/>
  <c r="U38"/>
  <c r="I38" s="1"/>
  <c r="J38" s="1"/>
  <c r="T40"/>
  <c r="U14"/>
  <c r="I14" s="1"/>
  <c r="J14" s="1"/>
  <c r="T16"/>
  <c r="U37"/>
  <c r="I37" s="1"/>
  <c r="J37" s="1"/>
  <c r="T39"/>
  <c r="U8"/>
  <c r="I8" s="1"/>
  <c r="J8" s="1"/>
  <c r="U30"/>
  <c r="I30" s="1"/>
  <c r="J30" s="1"/>
  <c r="U11"/>
  <c r="I11" s="1"/>
  <c r="J11" s="1"/>
  <c r="T13"/>
  <c r="U29"/>
  <c r="I29" s="1"/>
  <c r="J29" s="1"/>
  <c r="T31"/>
  <c r="U31" s="1"/>
  <c r="I31" s="1"/>
  <c r="J31" s="1"/>
  <c r="U40" l="1"/>
  <c r="I40" s="1"/>
  <c r="J40" s="1"/>
  <c r="T42"/>
  <c r="U13"/>
  <c r="I13" s="1"/>
  <c r="J13" s="1"/>
  <c r="T15"/>
  <c r="U39"/>
  <c r="I39" s="1"/>
  <c r="J39" s="1"/>
  <c r="T41"/>
  <c r="U16"/>
  <c r="I16" s="1"/>
  <c r="J16" s="1"/>
  <c r="T18"/>
  <c r="U41" l="1"/>
  <c r="I41" s="1"/>
  <c r="J41" s="1"/>
  <c r="T43"/>
  <c r="U43" s="1"/>
  <c r="I43" s="1"/>
  <c r="J43" s="1"/>
  <c r="U42"/>
  <c r="I42" s="1"/>
  <c r="J42" s="1"/>
  <c r="T44"/>
  <c r="U44" s="1"/>
  <c r="I44" s="1"/>
  <c r="J44" s="1"/>
  <c r="U18"/>
  <c r="I18" s="1"/>
  <c r="J18" s="1"/>
  <c r="T20"/>
  <c r="U15"/>
  <c r="I15" s="1"/>
  <c r="J15" s="1"/>
  <c r="T17"/>
  <c r="U17" l="1"/>
  <c r="I17" s="1"/>
  <c r="J17" s="1"/>
  <c r="T19"/>
  <c r="U20"/>
  <c r="I20" s="1"/>
  <c r="J20" s="1"/>
  <c r="T22"/>
  <c r="U22" s="1"/>
  <c r="I22" s="1"/>
  <c r="J22" s="1"/>
  <c r="U19" l="1"/>
  <c r="I19" s="1"/>
  <c r="J19" s="1"/>
  <c r="J45" s="1"/>
  <c r="T21"/>
  <c r="U21" s="1"/>
  <c r="I21" s="1"/>
  <c r="J21" s="1"/>
  <c r="F16" i="3" l="1"/>
  <c r="H45" i="4"/>
  <c r="H16" i="3" s="1"/>
  <c r="F36" i="6" l="1"/>
  <c r="F37" s="1"/>
  <c r="H18" i="3"/>
  <c r="F18" l="1"/>
  <c r="D52" i="6" s="1"/>
  <c r="D53"/>
</calcChain>
</file>

<file path=xl/sharedStrings.xml><?xml version="1.0" encoding="utf-8"?>
<sst xmlns="http://schemas.openxmlformats.org/spreadsheetml/2006/main" count="276" uniqueCount="183">
  <si>
    <t>Unit</t>
  </si>
  <si>
    <t>Value</t>
  </si>
  <si>
    <t>Specification</t>
  </si>
  <si>
    <t>Notation</t>
  </si>
  <si>
    <t>m</t>
  </si>
  <si>
    <t>kg/m3</t>
  </si>
  <si>
    <t xml:space="preserve">Consistency co-efficient for Power law fluid </t>
  </si>
  <si>
    <t xml:space="preserve">Density of the fluid </t>
  </si>
  <si>
    <t xml:space="preserve">Mass flow rate of the fluid </t>
  </si>
  <si>
    <t>n</t>
  </si>
  <si>
    <t xml:space="preserve">Power law fluid flow index </t>
  </si>
  <si>
    <t>N/A</t>
  </si>
  <si>
    <t>Globe valve</t>
  </si>
  <si>
    <t>Gate valve</t>
  </si>
  <si>
    <t>Plug valve</t>
  </si>
  <si>
    <t>Ball valve</t>
  </si>
  <si>
    <t>Standard, beta = 1</t>
  </si>
  <si>
    <t>Branch flow</t>
  </si>
  <si>
    <t>#</t>
  </si>
  <si>
    <t>pro</t>
  </si>
  <si>
    <t>ml</t>
  </si>
  <si>
    <t xml:space="preserve">Volumetric flow rate of the fluid </t>
  </si>
  <si>
    <t>m3/sec</t>
  </si>
  <si>
    <t>Quantity</t>
  </si>
  <si>
    <t>Q</t>
  </si>
  <si>
    <t xml:space="preserve">Power law Reynold's number </t>
  </si>
  <si>
    <r>
      <t>N</t>
    </r>
    <r>
      <rPr>
        <sz val="7"/>
        <color indexed="42"/>
        <rFont val="Arial"/>
        <family val="2"/>
      </rPr>
      <t>Re,pl</t>
    </r>
  </si>
  <si>
    <t xml:space="preserve">Friction factor </t>
  </si>
  <si>
    <t>f</t>
  </si>
  <si>
    <t>Delta P</t>
  </si>
  <si>
    <t>N/m2</t>
  </si>
  <si>
    <t>D</t>
  </si>
  <si>
    <t>mm</t>
  </si>
  <si>
    <t>V</t>
  </si>
  <si>
    <t>m/sec</t>
  </si>
  <si>
    <t xml:space="preserve">Velocity of the fluid </t>
  </si>
  <si>
    <t xml:space="preserve">Therefore the flow is </t>
  </si>
  <si>
    <t xml:space="preserve">For </t>
  </si>
  <si>
    <t>region ,</t>
  </si>
  <si>
    <t>Since Reynold's no.</t>
  </si>
  <si>
    <t>Laminar</t>
  </si>
  <si>
    <t>Turbulent</t>
  </si>
  <si>
    <t>Transition</t>
  </si>
  <si>
    <r>
      <t>N</t>
    </r>
    <r>
      <rPr>
        <b/>
        <sz val="7"/>
        <rFont val="Arial"/>
        <family val="2"/>
      </rPr>
      <t>Re,pl</t>
    </r>
    <r>
      <rPr>
        <b/>
        <sz val="10"/>
        <rFont val="Arial"/>
        <family val="2"/>
      </rPr>
      <t xml:space="preserve"> =</t>
    </r>
  </si>
  <si>
    <t>Friction factor =</t>
  </si>
  <si>
    <t>Fittings:</t>
  </si>
  <si>
    <t>K1</t>
  </si>
  <si>
    <t>Ki</t>
  </si>
  <si>
    <t>Kd</t>
  </si>
  <si>
    <t>Elbows-90 deg.</t>
  </si>
  <si>
    <t>Threaded, standard</t>
  </si>
  <si>
    <t>r/D = 1</t>
  </si>
  <si>
    <t>Threaded, Long radius</t>
  </si>
  <si>
    <t>r/D = 1.5</t>
  </si>
  <si>
    <t>Flanged, welded, bend</t>
  </si>
  <si>
    <t>r/D = 2</t>
  </si>
  <si>
    <t>r/D = 4</t>
  </si>
  <si>
    <t>r/D = 6</t>
  </si>
  <si>
    <t>Mitered</t>
  </si>
  <si>
    <t>1 weld, 90 deg.</t>
  </si>
  <si>
    <t>2 welds, 45 deg.</t>
  </si>
  <si>
    <t>3 welds, 30 deg.</t>
  </si>
  <si>
    <t>Elbows-45 deg.</t>
  </si>
  <si>
    <t>Long radius</t>
  </si>
  <si>
    <t>Mitered, 1 weld</t>
  </si>
  <si>
    <t>45 deg.</t>
  </si>
  <si>
    <t>Mitered, 2 welds</t>
  </si>
  <si>
    <t>22.5 deg.</t>
  </si>
  <si>
    <t>Elbows-180 deg.</t>
  </si>
  <si>
    <t>Threaded, close return bend</t>
  </si>
  <si>
    <t>Flanged</t>
  </si>
  <si>
    <t>All</t>
  </si>
  <si>
    <t>Tees</t>
  </si>
  <si>
    <t>Through-branch (as elbow)</t>
  </si>
  <si>
    <t>Threaded</t>
  </si>
  <si>
    <t>Stub-in branch</t>
  </si>
  <si>
    <t>Run through threaded</t>
  </si>
  <si>
    <t>Valves:</t>
  </si>
  <si>
    <t>Angle valve-45 deg.</t>
  </si>
  <si>
    <t>Full line size, beta = 1</t>
  </si>
  <si>
    <t>Angle valve-90 deg.</t>
  </si>
  <si>
    <t>Straight flow</t>
  </si>
  <si>
    <t>Three-way (flow through)</t>
  </si>
  <si>
    <t>Diaphragm</t>
  </si>
  <si>
    <t>Dam-type</t>
  </si>
  <si>
    <t>Swing check</t>
  </si>
  <si>
    <t>V = 35*(pro)^ -0.5</t>
  </si>
  <si>
    <t>Lift check</t>
  </si>
  <si>
    <t>V = 40*(pro)^ -0.5</t>
  </si>
  <si>
    <t>in</t>
  </si>
  <si>
    <t>Kf</t>
  </si>
  <si>
    <t>K1/NRe,pl</t>
  </si>
  <si>
    <t>Dn,in^ .3</t>
  </si>
  <si>
    <t>1+Kd/Dn</t>
  </si>
  <si>
    <t>velocity</t>
  </si>
  <si>
    <t>density</t>
  </si>
  <si>
    <t>bar</t>
  </si>
  <si>
    <t xml:space="preserve">Total Delta P due to fittings, Tees and valves is </t>
  </si>
  <si>
    <t xml:space="preserve">Total Pressure drop in the system </t>
  </si>
  <si>
    <t>mlc</t>
  </si>
  <si>
    <r>
      <t>Delta P</t>
    </r>
    <r>
      <rPr>
        <sz val="7"/>
        <color indexed="42"/>
        <rFont val="Arial"/>
        <family val="2"/>
      </rPr>
      <t>flow</t>
    </r>
  </si>
  <si>
    <r>
      <t>Delta P</t>
    </r>
    <r>
      <rPr>
        <sz val="7"/>
        <color indexed="42"/>
        <rFont val="Arial"/>
        <family val="2"/>
      </rPr>
      <t>acc.</t>
    </r>
  </si>
  <si>
    <t>kg/hr</t>
  </si>
  <si>
    <t>Input Data</t>
  </si>
  <si>
    <t>Name of the fluid</t>
  </si>
  <si>
    <t>Inlet Temperature</t>
  </si>
  <si>
    <t>Deg. C.</t>
  </si>
  <si>
    <t>Inlet Pressure</t>
  </si>
  <si>
    <t>Bar (A)</t>
  </si>
  <si>
    <t>Flow rate</t>
  </si>
  <si>
    <t>Kg/Hr</t>
  </si>
  <si>
    <t>Fluid density</t>
  </si>
  <si>
    <t>Kg/m^3</t>
  </si>
  <si>
    <t>Fluid Viscosity</t>
  </si>
  <si>
    <t>Cp</t>
  </si>
  <si>
    <t>Pipe ID</t>
  </si>
  <si>
    <t>Straight pipe length</t>
  </si>
  <si>
    <t>MLC</t>
  </si>
  <si>
    <t>Flow Regime</t>
  </si>
  <si>
    <t xml:space="preserve">Pressure Drop  </t>
  </si>
  <si>
    <t>Bar</t>
  </si>
  <si>
    <t xml:space="preserve">Critical Reynold's number </t>
  </si>
  <si>
    <t xml:space="preserve">Inlet absolute Pressure </t>
  </si>
  <si>
    <t>T</t>
  </si>
  <si>
    <t>P</t>
  </si>
  <si>
    <t xml:space="preserve">Fluid name </t>
  </si>
  <si>
    <t xml:space="preserve">Inlet Temperature </t>
  </si>
  <si>
    <t>deg. C</t>
  </si>
  <si>
    <t>Bar (a)</t>
  </si>
  <si>
    <t>cP</t>
  </si>
  <si>
    <t xml:space="preserve">Inner Diameter of pipe </t>
  </si>
  <si>
    <t>Elbows 90 deg.</t>
  </si>
  <si>
    <t>Elbows 45 deg.</t>
  </si>
  <si>
    <t>Valves</t>
  </si>
  <si>
    <t>Fittings Used:</t>
  </si>
  <si>
    <t>Pressure Drop Calculations for Power Law Fluids</t>
  </si>
  <si>
    <t>Elbows 180 deg.</t>
  </si>
  <si>
    <t xml:space="preserve">Pressure drop due to fittings </t>
  </si>
  <si>
    <t>Results:</t>
  </si>
  <si>
    <t xml:space="preserve">Sr. No. </t>
  </si>
  <si>
    <t>Pressure drop</t>
  </si>
  <si>
    <t>Equipment Name</t>
  </si>
  <si>
    <t>Rotameter</t>
  </si>
  <si>
    <t>Heat Exchanger</t>
  </si>
  <si>
    <t>Inline Acessories:</t>
  </si>
  <si>
    <t>Pressure drop due to Pipe Fittings</t>
  </si>
  <si>
    <t xml:space="preserve">Pressure drop due to Inline Accessories </t>
  </si>
  <si>
    <t xml:space="preserve">bar </t>
  </si>
  <si>
    <t xml:space="preserve">Pressure drop in straight Pipe length </t>
  </si>
  <si>
    <t>Power Law Reynolds Number</t>
  </si>
  <si>
    <t xml:space="preserve">Critical Reynolds Number </t>
  </si>
  <si>
    <t>Additional pressure drop due to Inline Equipment</t>
  </si>
  <si>
    <t>Pressure drop calculation of Power law fluids:  Results</t>
  </si>
  <si>
    <t>Threaded, standard, r/D = 1</t>
  </si>
  <si>
    <t>Threaded, Long radius, r/D = 1.5</t>
  </si>
  <si>
    <t>Flanged, welded, bend, r/D = 1</t>
  </si>
  <si>
    <t>Flanged, welded, bend, r/D = 2</t>
  </si>
  <si>
    <t>Flanged, welded, bend, r/D = 4</t>
  </si>
  <si>
    <t>Flanged, welded, bend, r/D = 6</t>
  </si>
  <si>
    <t>Mitered, 1 weld, 90 deg.</t>
  </si>
  <si>
    <t>Mitered, 2 welds, 45 deg.</t>
  </si>
  <si>
    <t>Mitered, 3 welds, 30 deg.</t>
  </si>
  <si>
    <t>Long radius, r/D = 1.5</t>
  </si>
  <si>
    <t>Mitered, 1 weld, 45 deg.</t>
  </si>
  <si>
    <t xml:space="preserve">Mitered, 2 welds, 22.5 deg. </t>
  </si>
  <si>
    <t>Threaded, close return bend, r/D = 1</t>
  </si>
  <si>
    <t>Flanged, r/D = 1</t>
  </si>
  <si>
    <t>All, r/D = 1.5</t>
  </si>
  <si>
    <t>Threaded, r/D = 1</t>
  </si>
  <si>
    <t>Threaded, r/D = 1.5</t>
  </si>
  <si>
    <t>Run through threaded, r/D = 1</t>
  </si>
  <si>
    <t>Plug valve, three way</t>
  </si>
  <si>
    <t>Plug valve, Straight through</t>
  </si>
  <si>
    <t>Plug valve, Branch flow</t>
  </si>
  <si>
    <t>scmc</t>
  </si>
  <si>
    <t xml:space="preserve">Straight length of horizontal pipe </t>
  </si>
  <si>
    <t xml:space="preserve">Straight length of Vertical pipe </t>
  </si>
  <si>
    <t xml:space="preserve">Straight length of inclined pipe and angle </t>
  </si>
  <si>
    <t xml:space="preserve">Angle </t>
  </si>
  <si>
    <t>deg.</t>
  </si>
  <si>
    <t>H</t>
  </si>
  <si>
    <t>I</t>
  </si>
  <si>
    <t>Exchanger- E101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</si>
</sst>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2"/>
      <color indexed="8"/>
      <name val="Arial"/>
      <family val="2"/>
    </font>
    <font>
      <b/>
      <sz val="10"/>
      <color indexed="42"/>
      <name val="Arial"/>
      <family val="2"/>
    </font>
    <font>
      <sz val="10"/>
      <color indexed="4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8"/>
      <color indexed="42"/>
      <name val="Arial"/>
      <family val="2"/>
    </font>
    <font>
      <sz val="7"/>
      <color indexed="4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trike/>
      <sz val="10"/>
      <color indexed="42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9"/>
      <name val="Tahom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.8000000000000007"/>
      <name val="Tahom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2" xfId="0" applyFill="1" applyBorder="1"/>
    <xf numFmtId="0" fontId="9" fillId="2" borderId="0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1" fontId="9" fillId="2" borderId="0" xfId="0" applyNumberFormat="1" applyFont="1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center"/>
    </xf>
    <xf numFmtId="0" fontId="9" fillId="2" borderId="21" xfId="0" applyFont="1" applyFill="1" applyBorder="1" applyAlignment="1">
      <alignment horizontal="right"/>
    </xf>
    <xf numFmtId="0" fontId="3" fillId="2" borderId="0" xfId="0" applyFont="1" applyFill="1"/>
    <xf numFmtId="0" fontId="9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2" borderId="33" xfId="0" applyFont="1" applyFill="1" applyBorder="1"/>
    <xf numFmtId="0" fontId="0" fillId="0" borderId="0" xfId="0" applyBorder="1"/>
    <xf numFmtId="0" fontId="0" fillId="0" borderId="7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0" fillId="0" borderId="23" xfId="0" applyBorder="1"/>
    <xf numFmtId="0" fontId="0" fillId="0" borderId="37" xfId="0" applyBorder="1"/>
    <xf numFmtId="0" fontId="0" fillId="0" borderId="38" xfId="0" applyBorder="1"/>
    <xf numFmtId="0" fontId="9" fillId="0" borderId="9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5" fillId="0" borderId="0" xfId="1">
      <alignment vertical="center"/>
    </xf>
    <xf numFmtId="0" fontId="13" fillId="0" borderId="42" xfId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43" xfId="1" applyFont="1" applyBorder="1">
      <alignment vertical="center"/>
    </xf>
    <xf numFmtId="0" fontId="12" fillId="0" borderId="42" xfId="1" applyFont="1" applyBorder="1">
      <alignment vertical="center"/>
    </xf>
    <xf numFmtId="0" fontId="5" fillId="0" borderId="42" xfId="1" applyBorder="1">
      <alignment vertical="center"/>
    </xf>
    <xf numFmtId="0" fontId="5" fillId="0" borderId="0" xfId="1" applyBorder="1">
      <alignment vertical="center"/>
    </xf>
    <xf numFmtId="0" fontId="5" fillId="0" borderId="43" xfId="1" applyBorder="1">
      <alignment vertical="center"/>
    </xf>
    <xf numFmtId="0" fontId="14" fillId="0" borderId="0" xfId="1" applyFont="1" applyBorder="1">
      <alignment vertical="center"/>
    </xf>
    <xf numFmtId="0" fontId="13" fillId="0" borderId="0" xfId="1" applyFont="1" applyBorder="1" applyAlignment="1">
      <alignment horizontal="center" vertical="center"/>
    </xf>
    <xf numFmtId="0" fontId="12" fillId="0" borderId="0" xfId="1" applyFont="1" applyBorder="1">
      <alignment vertical="center"/>
    </xf>
    <xf numFmtId="0" fontId="13" fillId="0" borderId="44" xfId="1" applyFont="1" applyBorder="1">
      <alignment vertical="center"/>
    </xf>
    <xf numFmtId="0" fontId="13" fillId="0" borderId="45" xfId="1" applyFont="1" applyBorder="1">
      <alignment vertical="center"/>
    </xf>
    <xf numFmtId="0" fontId="13" fillId="0" borderId="46" xfId="1" applyFont="1" applyBorder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3" fillId="2" borderId="3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5" fillId="0" borderId="0" xfId="1" applyFill="1">
      <alignment vertical="center"/>
    </xf>
    <xf numFmtId="0" fontId="5" fillId="0" borderId="0" xfId="1" applyFont="1" applyFill="1">
      <alignment vertical="center"/>
    </xf>
    <xf numFmtId="0" fontId="1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2" fillId="0" borderId="0" xfId="1" applyFont="1" applyBorder="1" applyAlignment="1">
      <alignment horizontal="center" vertical="center"/>
    </xf>
    <xf numFmtId="0" fontId="15" fillId="0" borderId="0" xfId="1" applyFont="1" applyBorder="1">
      <alignment vertical="center"/>
    </xf>
    <xf numFmtId="0" fontId="14" fillId="0" borderId="0" xfId="1" applyFont="1" applyBorder="1" applyAlignment="1">
      <alignment horizontal="center" vertical="center"/>
    </xf>
    <xf numFmtId="0" fontId="13" fillId="0" borderId="43" xfId="1" applyFont="1" applyBorder="1" applyAlignment="1">
      <alignment horizontal="center" vertical="center"/>
    </xf>
    <xf numFmtId="0" fontId="14" fillId="0" borderId="43" xfId="1" applyFont="1" applyBorder="1" applyAlignment="1">
      <alignment horizontal="center" vertical="center"/>
    </xf>
    <xf numFmtId="0" fontId="0" fillId="2" borderId="0" xfId="0" applyFill="1" applyBorder="1" applyAlignment="1"/>
    <xf numFmtId="0" fontId="3" fillId="2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2" fontId="13" fillId="0" borderId="0" xfId="1" applyNumberFormat="1" applyFont="1" applyBorder="1">
      <alignment vertical="center"/>
    </xf>
    <xf numFmtId="0" fontId="4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2" fillId="0" borderId="45" xfId="1" applyFont="1" applyBorder="1">
      <alignment vertical="center"/>
    </xf>
    <xf numFmtId="0" fontId="15" fillId="0" borderId="42" xfId="0" applyFont="1" applyFill="1" applyBorder="1" applyAlignment="1">
      <alignment horizontal="left"/>
    </xf>
    <xf numFmtId="0" fontId="9" fillId="0" borderId="42" xfId="0" applyFont="1" applyFill="1" applyBorder="1" applyAlignment="1">
      <alignment horizontal="left"/>
    </xf>
    <xf numFmtId="0" fontId="15" fillId="0" borderId="0" xfId="1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9" fillId="0" borderId="42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4" fillId="0" borderId="42" xfId="1" applyFont="1" applyBorder="1">
      <alignment vertical="center"/>
    </xf>
    <xf numFmtId="0" fontId="15" fillId="0" borderId="42" xfId="0" applyFont="1" applyFill="1" applyBorder="1" applyAlignment="1">
      <alignment horizontal="center"/>
    </xf>
    <xf numFmtId="0" fontId="17" fillId="0" borderId="42" xfId="1" applyFont="1" applyBorder="1">
      <alignment vertical="center"/>
    </xf>
    <xf numFmtId="0" fontId="12" fillId="0" borderId="44" xfId="1" applyFont="1" applyBorder="1">
      <alignment vertical="center"/>
    </xf>
    <xf numFmtId="0" fontId="8" fillId="0" borderId="0" xfId="1" applyFont="1" applyBorder="1">
      <alignment vertical="center"/>
    </xf>
    <xf numFmtId="2" fontId="13" fillId="0" borderId="0" xfId="1" applyNumberFormat="1" applyFont="1" applyFill="1" applyBorder="1">
      <alignment vertical="center"/>
    </xf>
    <xf numFmtId="0" fontId="18" fillId="0" borderId="42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3" fillId="2" borderId="40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right"/>
    </xf>
    <xf numFmtId="0" fontId="3" fillId="2" borderId="41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9" fillId="3" borderId="13" xfId="0" applyFont="1" applyFill="1" applyBorder="1" applyAlignment="1" applyProtection="1">
      <alignment horizontal="center"/>
      <protection locked="0"/>
    </xf>
    <xf numFmtId="0" fontId="0" fillId="3" borderId="37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8" fillId="3" borderId="14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/>
      <protection locked="0"/>
    </xf>
    <xf numFmtId="0" fontId="8" fillId="3" borderId="39" xfId="0" applyFont="1" applyFill="1" applyBorder="1" applyAlignment="1" applyProtection="1">
      <alignment horizontal="center"/>
      <protection locked="0"/>
    </xf>
    <xf numFmtId="0" fontId="8" fillId="3" borderId="40" xfId="0" applyFont="1" applyFill="1" applyBorder="1" applyAlignment="1" applyProtection="1">
      <alignment horizontal="center"/>
      <protection locked="0"/>
    </xf>
    <xf numFmtId="0" fontId="1" fillId="4" borderId="1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2" borderId="52" xfId="0" applyFont="1" applyFill="1" applyBorder="1" applyAlignment="1">
      <alignment horizontal="right"/>
    </xf>
    <xf numFmtId="0" fontId="3" fillId="2" borderId="53" xfId="0" applyFont="1" applyFill="1" applyBorder="1" applyAlignment="1">
      <alignment horizontal="right"/>
    </xf>
    <xf numFmtId="0" fontId="3" fillId="2" borderId="28" xfId="0" applyFont="1" applyFill="1" applyBorder="1" applyAlignment="1">
      <alignment horizontal="right"/>
    </xf>
    <xf numFmtId="0" fontId="3" fillId="2" borderId="48" xfId="0" applyFont="1" applyFill="1" applyBorder="1" applyAlignment="1">
      <alignment horizontal="right"/>
    </xf>
    <xf numFmtId="0" fontId="3" fillId="2" borderId="54" xfId="0" applyFont="1" applyFill="1" applyBorder="1" applyAlignment="1">
      <alignment horizontal="right"/>
    </xf>
    <xf numFmtId="0" fontId="3" fillId="2" borderId="55" xfId="0" applyFont="1" applyFill="1" applyBorder="1" applyAlignment="1">
      <alignment horizontal="right"/>
    </xf>
    <xf numFmtId="0" fontId="3" fillId="2" borderId="25" xfId="0" applyFont="1" applyFill="1" applyBorder="1" applyAlignment="1">
      <alignment horizontal="right"/>
    </xf>
    <xf numFmtId="0" fontId="3" fillId="2" borderId="56" xfId="0" applyFont="1" applyFill="1" applyBorder="1" applyAlignment="1">
      <alignment horizontal="right"/>
    </xf>
    <xf numFmtId="0" fontId="3" fillId="2" borderId="16" xfId="0" applyFont="1" applyFill="1" applyBorder="1" applyAlignment="1">
      <alignment horizontal="right"/>
    </xf>
    <xf numFmtId="0" fontId="3" fillId="2" borderId="31" xfId="0" applyFont="1" applyFill="1" applyBorder="1" applyAlignment="1">
      <alignment horizontal="right"/>
    </xf>
    <xf numFmtId="0" fontId="3" fillId="2" borderId="57" xfId="0" applyFont="1" applyFill="1" applyBorder="1" applyAlignment="1">
      <alignment horizontal="right"/>
    </xf>
    <xf numFmtId="0" fontId="3" fillId="2" borderId="58" xfId="0" applyFont="1" applyFill="1" applyBorder="1" applyAlignment="1">
      <alignment horizontal="right"/>
    </xf>
    <xf numFmtId="0" fontId="3" fillId="2" borderId="49" xfId="0" applyFont="1" applyFill="1" applyBorder="1" applyAlignment="1">
      <alignment horizontal="left"/>
    </xf>
    <xf numFmtId="0" fontId="3" fillId="2" borderId="50" xfId="0" applyFont="1" applyFill="1" applyBorder="1" applyAlignment="1">
      <alignment horizontal="left"/>
    </xf>
    <xf numFmtId="0" fontId="3" fillId="2" borderId="5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3" fillId="2" borderId="5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2" fillId="2" borderId="47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2" borderId="53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3" fillId="2" borderId="57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3" fillId="2" borderId="55" xfId="0" applyFont="1" applyFill="1" applyBorder="1" applyAlignment="1">
      <alignment horizontal="left"/>
    </xf>
    <xf numFmtId="0" fontId="2" fillId="2" borderId="47" xfId="0" applyFont="1" applyFill="1" applyBorder="1" applyAlignment="1">
      <alignment horizontal="right"/>
    </xf>
    <xf numFmtId="0" fontId="2" fillId="2" borderId="33" xfId="0" applyFont="1" applyFill="1" applyBorder="1" applyAlignment="1">
      <alignment horizontal="right"/>
    </xf>
    <xf numFmtId="0" fontId="8" fillId="2" borderId="59" xfId="0" applyFont="1" applyFill="1" applyBorder="1" applyAlignment="1">
      <alignment horizontal="center"/>
    </xf>
    <xf numFmtId="0" fontId="15" fillId="3" borderId="28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2" borderId="60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22" xfId="0" applyFont="1" applyFill="1" applyBorder="1" applyAlignment="1">
      <alignment horizontal="right"/>
    </xf>
    <xf numFmtId="0" fontId="3" fillId="2" borderId="61" xfId="0" applyFont="1" applyFill="1" applyBorder="1" applyAlignment="1">
      <alignment horizontal="right"/>
    </xf>
    <xf numFmtId="0" fontId="3" fillId="2" borderId="62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left"/>
    </xf>
    <xf numFmtId="0" fontId="12" fillId="0" borderId="63" xfId="1" applyFont="1" applyBorder="1" applyAlignment="1">
      <alignment horizontal="center" vertical="center"/>
    </xf>
    <xf numFmtId="0" fontId="12" fillId="0" borderId="64" xfId="1" applyFont="1" applyBorder="1" applyAlignment="1">
      <alignment horizontal="center" vertical="center"/>
    </xf>
    <xf numFmtId="0" fontId="12" fillId="0" borderId="65" xfId="1" applyFont="1" applyBorder="1" applyAlignment="1">
      <alignment horizontal="center" vertical="center"/>
    </xf>
    <xf numFmtId="0" fontId="12" fillId="0" borderId="42" xfId="1" applyFont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5" fillId="0" borderId="0" xfId="0" applyFont="1" applyFill="1" applyBorder="1" applyAlignment="1">
      <alignment horizontal="center"/>
    </xf>
    <xf numFmtId="0" fontId="12" fillId="0" borderId="0" xfId="1" applyFont="1" applyFill="1" applyBorder="1" applyAlignment="1">
      <alignment horizontal="left" vertical="center"/>
    </xf>
    <xf numFmtId="0" fontId="12" fillId="0" borderId="42" xfId="1" applyFont="1" applyBorder="1" applyAlignment="1">
      <alignment horizontal="right" vertical="center"/>
    </xf>
    <xf numFmtId="0" fontId="12" fillId="0" borderId="0" xfId="1" applyFont="1" applyBorder="1" applyAlignment="1">
      <alignment horizontal="right" vertical="center"/>
    </xf>
    <xf numFmtId="0" fontId="13" fillId="0" borderId="42" xfId="1" applyFont="1" applyBorder="1" applyAlignment="1">
      <alignment horizontal="right" vertical="center"/>
    </xf>
    <xf numFmtId="0" fontId="13" fillId="0" borderId="0" xfId="1" applyFont="1" applyBorder="1" applyAlignment="1">
      <alignment horizontal="right" vertical="center"/>
    </xf>
    <xf numFmtId="0" fontId="12" fillId="0" borderId="42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</cellXfs>
  <cellStyles count="2">
    <cellStyle name="Normal" xfId="0" builtinId="0"/>
    <cellStyle name="Normal_SP-DELP-FINA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L55"/>
  <sheetViews>
    <sheetView workbookViewId="0">
      <selection activeCell="I16" sqref="I16"/>
    </sheetView>
  </sheetViews>
  <sheetFormatPr defaultRowHeight="12.75"/>
  <cols>
    <col min="9" max="9" width="8.5703125" customWidth="1"/>
    <col min="10" max="10" width="8.42578125" customWidth="1"/>
    <col min="11" max="11" width="8.7109375" customWidth="1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>
      <c r="A2" s="138" t="s">
        <v>135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40"/>
    </row>
    <row r="3" spans="1:1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3.5" thickBo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ht="13.5" thickBot="1">
      <c r="A5" s="90" t="s">
        <v>3</v>
      </c>
      <c r="B5" s="141" t="s">
        <v>2</v>
      </c>
      <c r="C5" s="142"/>
      <c r="D5" s="142"/>
      <c r="E5" s="142"/>
      <c r="F5" s="90" t="s">
        <v>1</v>
      </c>
      <c r="G5" s="91" t="s">
        <v>0</v>
      </c>
      <c r="H5" s="5"/>
      <c r="I5" s="5"/>
      <c r="J5" s="5"/>
      <c r="K5" s="5"/>
      <c r="L5" s="6"/>
    </row>
    <row r="6" spans="1:12">
      <c r="A6" s="18"/>
      <c r="B6" s="148" t="s">
        <v>125</v>
      </c>
      <c r="C6" s="149"/>
      <c r="D6" s="149"/>
      <c r="E6" s="150"/>
      <c r="F6" s="130" t="s">
        <v>174</v>
      </c>
      <c r="G6" s="92" t="s">
        <v>11</v>
      </c>
      <c r="H6" s="5"/>
      <c r="I6" s="5"/>
      <c r="J6" s="5"/>
      <c r="K6" s="5"/>
      <c r="L6" s="6"/>
    </row>
    <row r="7" spans="1:12">
      <c r="A7" s="88" t="s">
        <v>20</v>
      </c>
      <c r="B7" s="143" t="s">
        <v>8</v>
      </c>
      <c r="C7" s="143"/>
      <c r="D7" s="143"/>
      <c r="E7" s="143"/>
      <c r="F7" s="131">
        <v>1200</v>
      </c>
      <c r="G7" s="88" t="s">
        <v>102</v>
      </c>
      <c r="H7" s="69">
        <f>F7/3600</f>
        <v>0.33333333333333331</v>
      </c>
      <c r="I7" s="5"/>
      <c r="J7" s="5"/>
      <c r="K7" s="5"/>
      <c r="L7" s="6"/>
    </row>
    <row r="8" spans="1:12">
      <c r="A8" s="88" t="s">
        <v>123</v>
      </c>
      <c r="B8" s="147" t="s">
        <v>126</v>
      </c>
      <c r="C8" s="147"/>
      <c r="D8" s="147"/>
      <c r="E8" s="147"/>
      <c r="F8" s="132">
        <v>30</v>
      </c>
      <c r="G8" s="88" t="s">
        <v>127</v>
      </c>
      <c r="H8" s="69"/>
      <c r="I8" s="5"/>
      <c r="J8" s="5"/>
      <c r="K8" s="5"/>
      <c r="L8" s="6"/>
    </row>
    <row r="9" spans="1:12">
      <c r="A9" s="88" t="s">
        <v>124</v>
      </c>
      <c r="B9" s="147" t="s">
        <v>122</v>
      </c>
      <c r="C9" s="147"/>
      <c r="D9" s="147"/>
      <c r="E9" s="147"/>
      <c r="F9" s="131">
        <v>4</v>
      </c>
      <c r="G9" s="88" t="s">
        <v>128</v>
      </c>
      <c r="H9" s="69"/>
      <c r="I9" s="5"/>
      <c r="J9" s="5"/>
      <c r="K9" s="5"/>
      <c r="L9" s="6"/>
    </row>
    <row r="10" spans="1:12">
      <c r="A10" s="19" t="s">
        <v>19</v>
      </c>
      <c r="B10" s="144" t="s">
        <v>7</v>
      </c>
      <c r="C10" s="145"/>
      <c r="D10" s="145"/>
      <c r="E10" s="146"/>
      <c r="F10" s="133">
        <v>1500</v>
      </c>
      <c r="G10" s="19" t="s">
        <v>5</v>
      </c>
      <c r="H10" s="5">
        <f>0.062427*F10</f>
        <v>93.640500000000003</v>
      </c>
      <c r="I10" s="5"/>
      <c r="J10" s="5"/>
      <c r="K10" s="5"/>
      <c r="L10" s="6"/>
    </row>
    <row r="11" spans="1:12">
      <c r="A11" s="19" t="s">
        <v>4</v>
      </c>
      <c r="B11" s="144" t="s">
        <v>6</v>
      </c>
      <c r="C11" s="145"/>
      <c r="D11" s="145"/>
      <c r="E11" s="146"/>
      <c r="F11" s="131">
        <v>1</v>
      </c>
      <c r="G11" s="19" t="s">
        <v>129</v>
      </c>
      <c r="H11" s="69">
        <f>F11/1000</f>
        <v>1E-3</v>
      </c>
      <c r="I11" s="5"/>
      <c r="J11" s="5"/>
      <c r="K11" s="5"/>
      <c r="L11" s="6"/>
    </row>
    <row r="12" spans="1:12">
      <c r="A12" s="19" t="s">
        <v>9</v>
      </c>
      <c r="B12" s="144" t="s">
        <v>10</v>
      </c>
      <c r="C12" s="145"/>
      <c r="D12" s="145"/>
      <c r="E12" s="146"/>
      <c r="F12" s="133">
        <v>1</v>
      </c>
      <c r="G12" s="19" t="s">
        <v>11</v>
      </c>
      <c r="H12" s="22" t="s">
        <v>4</v>
      </c>
      <c r="I12" s="22" t="s">
        <v>89</v>
      </c>
      <c r="J12" s="5"/>
      <c r="K12" s="5"/>
      <c r="L12" s="6"/>
    </row>
    <row r="13" spans="1:12">
      <c r="A13" s="19" t="s">
        <v>31</v>
      </c>
      <c r="B13" s="144" t="s">
        <v>130</v>
      </c>
      <c r="C13" s="145"/>
      <c r="D13" s="145"/>
      <c r="E13" s="146"/>
      <c r="F13" s="133">
        <v>100</v>
      </c>
      <c r="G13" s="19" t="s">
        <v>32</v>
      </c>
      <c r="H13" s="22">
        <f>F13/1000</f>
        <v>0.1</v>
      </c>
      <c r="I13" s="22">
        <f>F13/25.4</f>
        <v>3.9370078740157481</v>
      </c>
      <c r="J13" s="5"/>
      <c r="K13" s="5"/>
      <c r="L13" s="6"/>
    </row>
    <row r="14" spans="1:12">
      <c r="A14" s="124" t="s">
        <v>180</v>
      </c>
      <c r="B14" s="154" t="s">
        <v>175</v>
      </c>
      <c r="C14" s="147"/>
      <c r="D14" s="147"/>
      <c r="E14" s="147"/>
      <c r="F14" s="133">
        <v>100</v>
      </c>
      <c r="G14" s="124" t="s">
        <v>4</v>
      </c>
      <c r="H14" s="22"/>
      <c r="I14" s="22"/>
      <c r="J14" s="5"/>
      <c r="K14" s="5"/>
      <c r="L14" s="6"/>
    </row>
    <row r="15" spans="1:12" ht="13.5" thickBot="1">
      <c r="A15" s="124" t="s">
        <v>33</v>
      </c>
      <c r="B15" s="154" t="s">
        <v>176</v>
      </c>
      <c r="C15" s="147"/>
      <c r="D15" s="147"/>
      <c r="E15" s="147"/>
      <c r="F15" s="133">
        <v>2</v>
      </c>
      <c r="G15" s="124" t="s">
        <v>4</v>
      </c>
      <c r="H15" s="22"/>
      <c r="I15" s="22"/>
      <c r="J15" s="5"/>
      <c r="K15" s="5"/>
      <c r="L15" s="6"/>
    </row>
    <row r="16" spans="1:12" ht="13.5" thickBot="1">
      <c r="A16" s="20" t="s">
        <v>181</v>
      </c>
      <c r="B16" s="151" t="s">
        <v>177</v>
      </c>
      <c r="C16" s="152"/>
      <c r="D16" s="152"/>
      <c r="E16" s="153"/>
      <c r="F16" s="134">
        <v>1</v>
      </c>
      <c r="G16" s="20" t="s">
        <v>4</v>
      </c>
      <c r="H16" s="125" t="s">
        <v>178</v>
      </c>
      <c r="I16" s="135">
        <v>30</v>
      </c>
      <c r="J16" s="126" t="s">
        <v>179</v>
      </c>
      <c r="K16" s="5">
        <f>SIN(I16*(PI()/180))*F16</f>
        <v>0.49999999999999994</v>
      </c>
      <c r="L16" s="6"/>
    </row>
    <row r="17" spans="1:12">
      <c r="A17" s="23"/>
      <c r="B17" s="24"/>
      <c r="C17" s="24"/>
      <c r="D17" s="24"/>
      <c r="E17" s="24"/>
      <c r="F17" s="69">
        <f>SUM(F14:F16)</f>
        <v>103</v>
      </c>
      <c r="G17" s="23"/>
      <c r="H17" s="5"/>
      <c r="I17" s="5"/>
      <c r="J17" s="5"/>
      <c r="K17" s="5">
        <f>K16+F15</f>
        <v>2.5</v>
      </c>
      <c r="L17" s="6"/>
    </row>
    <row r="18" spans="1:12">
      <c r="A18" s="23"/>
      <c r="B18" s="24"/>
      <c r="C18" s="24"/>
      <c r="D18" s="24"/>
      <c r="E18" s="24"/>
      <c r="F18" s="69"/>
      <c r="G18" s="23"/>
      <c r="H18" s="5"/>
      <c r="I18" s="5"/>
      <c r="J18" s="5"/>
      <c r="K18" s="5"/>
      <c r="L18" s="6"/>
    </row>
    <row r="19" spans="1:12">
      <c r="A19" s="23"/>
      <c r="B19" s="24"/>
      <c r="C19" s="24"/>
      <c r="D19" s="24"/>
      <c r="E19" s="24"/>
      <c r="F19" s="21"/>
      <c r="G19" s="23"/>
      <c r="H19" s="5"/>
      <c r="I19" s="5"/>
      <c r="J19" s="5"/>
      <c r="K19" s="5"/>
      <c r="L19" s="6"/>
    </row>
    <row r="20" spans="1:12">
      <c r="A20" s="23"/>
      <c r="B20" s="24"/>
      <c r="C20" s="24"/>
      <c r="D20" s="24"/>
      <c r="E20" s="24"/>
      <c r="F20" s="69"/>
      <c r="G20" s="23"/>
      <c r="H20" s="5"/>
      <c r="I20" s="5"/>
      <c r="J20" s="5"/>
      <c r="K20" s="5"/>
      <c r="L20" s="6"/>
    </row>
    <row r="21" spans="1:1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1:1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1:1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1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1:1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1:1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1:1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1:1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1:1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1:12" ht="13.5" thickBo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</sheetData>
  <sheetProtection password="DB83" sheet="1" objects="1" scenarios="1" selectLockedCells="1"/>
  <mergeCells count="13">
    <mergeCell ref="B16:E16"/>
    <mergeCell ref="B11:E11"/>
    <mergeCell ref="B12:E12"/>
    <mergeCell ref="B13:E13"/>
    <mergeCell ref="B14:E14"/>
    <mergeCell ref="B15:E15"/>
    <mergeCell ref="A2:L2"/>
    <mergeCell ref="B5:E5"/>
    <mergeCell ref="B7:E7"/>
    <mergeCell ref="B10:E10"/>
    <mergeCell ref="B8:E8"/>
    <mergeCell ref="B9:E9"/>
    <mergeCell ref="B6:E6"/>
  </mergeCells>
  <pageMargins left="0.75" right="0.75" top="1" bottom="1" header="0.5" footer="0.5"/>
  <pageSetup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U51"/>
  <sheetViews>
    <sheetView tabSelected="1" topLeftCell="A10" workbookViewId="0">
      <selection activeCell="H44" sqref="H44"/>
    </sheetView>
  </sheetViews>
  <sheetFormatPr defaultRowHeight="12.75"/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21" ht="16.5" thickBot="1">
      <c r="A2" s="138" t="s">
        <v>135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40"/>
    </row>
    <row r="3" spans="1:21">
      <c r="A3" s="44"/>
      <c r="B3" s="44"/>
      <c r="C3" s="44"/>
      <c r="D3" s="44"/>
      <c r="E3" s="44"/>
      <c r="F3" s="44"/>
      <c r="G3" s="44"/>
      <c r="H3" s="44"/>
      <c r="I3" s="44"/>
      <c r="J3" s="44"/>
      <c r="K3" s="21"/>
      <c r="L3" s="21"/>
      <c r="N3" s="18" t="s">
        <v>26</v>
      </c>
      <c r="O3">
        <f>Calculations!F8</f>
        <v>4244.131815783875</v>
      </c>
    </row>
    <row r="4" spans="1:2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N4" t="s">
        <v>92</v>
      </c>
      <c r="O4">
        <f>Input!I13^0.3</f>
        <v>1.5085158754954515</v>
      </c>
      <c r="S4" t="s">
        <v>94</v>
      </c>
      <c r="T4" t="s">
        <v>95</v>
      </c>
    </row>
    <row r="5" spans="1:21" ht="13.5" thickBot="1">
      <c r="A5" s="44"/>
      <c r="B5" s="44"/>
      <c r="C5" s="44"/>
      <c r="D5" s="44"/>
      <c r="E5" s="44"/>
      <c r="F5" s="44"/>
      <c r="G5" s="44"/>
      <c r="H5" s="44"/>
      <c r="I5" s="44"/>
      <c r="J5" s="44"/>
      <c r="K5" s="21"/>
      <c r="L5" s="21"/>
      <c r="S5">
        <f>Calculations!F7</f>
        <v>2.8294212105225834E-2</v>
      </c>
      <c r="T5">
        <f>Input!F10</f>
        <v>1500</v>
      </c>
    </row>
    <row r="6" spans="1:21" ht="13.5" thickBot="1">
      <c r="A6" s="158" t="s">
        <v>45</v>
      </c>
      <c r="B6" s="159"/>
      <c r="C6" s="159"/>
      <c r="D6" s="159"/>
      <c r="E6" s="159"/>
      <c r="F6" s="159"/>
      <c r="G6" s="159"/>
      <c r="H6" s="10" t="s">
        <v>18</v>
      </c>
      <c r="I6" s="44"/>
      <c r="J6" s="44"/>
      <c r="K6" s="21"/>
      <c r="L6" s="21"/>
      <c r="M6" s="45" t="s">
        <v>46</v>
      </c>
      <c r="N6" s="46" t="s">
        <v>47</v>
      </c>
      <c r="O6" s="47" t="s">
        <v>48</v>
      </c>
      <c r="P6" t="s">
        <v>91</v>
      </c>
      <c r="Q6" t="s">
        <v>93</v>
      </c>
      <c r="R6" t="s">
        <v>90</v>
      </c>
      <c r="S6">
        <f>S5</f>
        <v>2.8294212105225834E-2</v>
      </c>
      <c r="T6">
        <f>T5</f>
        <v>1500</v>
      </c>
      <c r="U6" s="68" t="s">
        <v>29</v>
      </c>
    </row>
    <row r="7" spans="1:21">
      <c r="A7" s="160" t="s">
        <v>49</v>
      </c>
      <c r="B7" s="161"/>
      <c r="C7" s="161" t="s">
        <v>50</v>
      </c>
      <c r="D7" s="161"/>
      <c r="E7" s="161"/>
      <c r="F7" s="161" t="s">
        <v>51</v>
      </c>
      <c r="G7" s="162"/>
      <c r="H7" s="136">
        <v>1</v>
      </c>
      <c r="I7" s="44">
        <f>U7</f>
        <v>0.42012797323232687</v>
      </c>
      <c r="J7" s="44">
        <f>I7*H7</f>
        <v>0.42012797323232687</v>
      </c>
      <c r="K7" s="21"/>
      <c r="L7" s="21"/>
      <c r="M7" s="48">
        <v>800</v>
      </c>
      <c r="N7" s="49">
        <v>0.14000000000000001</v>
      </c>
      <c r="O7" s="50">
        <v>4</v>
      </c>
      <c r="P7">
        <f>M7/O3</f>
        <v>0.18849555921538763</v>
      </c>
      <c r="Q7">
        <f>1+(O7/O4)</f>
        <v>3.6516127970388474</v>
      </c>
      <c r="R7">
        <f>P7+(N7*Q7)</f>
        <v>0.69972135080082631</v>
      </c>
      <c r="S7">
        <f>S5</f>
        <v>2.8294212105225834E-2</v>
      </c>
      <c r="T7">
        <f>T5</f>
        <v>1500</v>
      </c>
      <c r="U7" s="66">
        <f>0.5*T7*R7*S7^2</f>
        <v>0.42012797323232687</v>
      </c>
    </row>
    <row r="8" spans="1:21">
      <c r="A8" s="163"/>
      <c r="B8" s="164"/>
      <c r="C8" s="164" t="s">
        <v>52</v>
      </c>
      <c r="D8" s="164"/>
      <c r="E8" s="164"/>
      <c r="F8" s="164" t="s">
        <v>53</v>
      </c>
      <c r="G8" s="165"/>
      <c r="H8" s="133">
        <v>0</v>
      </c>
      <c r="I8" s="44">
        <f>U8</f>
        <v>0.27449682489006605</v>
      </c>
      <c r="J8" s="44">
        <f>I8*H8</f>
        <v>0</v>
      </c>
      <c r="K8" s="21"/>
      <c r="L8" s="21"/>
      <c r="M8" s="51">
        <v>800</v>
      </c>
      <c r="N8" s="52">
        <v>7.0999999999999994E-2</v>
      </c>
      <c r="O8" s="53">
        <v>4.2</v>
      </c>
      <c r="P8">
        <f>M8/O3</f>
        <v>0.18849555921538763</v>
      </c>
      <c r="Q8">
        <f>1+(O8/O4)</f>
        <v>3.7841934368907899</v>
      </c>
      <c r="R8">
        <f t="shared" ref="R8:R44" si="0">P8+(N8*Q8)</f>
        <v>0.45717329323463368</v>
      </c>
      <c r="S8">
        <f t="shared" ref="S8:S22" si="1">S6</f>
        <v>2.8294212105225834E-2</v>
      </c>
      <c r="T8">
        <f t="shared" ref="T8:T44" si="2">T6</f>
        <v>1500</v>
      </c>
      <c r="U8" s="66">
        <f t="shared" ref="U8:U44" si="3">0.5*T8*R8*S8^2</f>
        <v>0.27449682489006605</v>
      </c>
    </row>
    <row r="9" spans="1:21">
      <c r="A9" s="163"/>
      <c r="B9" s="164"/>
      <c r="C9" s="164" t="s">
        <v>54</v>
      </c>
      <c r="D9" s="164"/>
      <c r="E9" s="164"/>
      <c r="F9" s="164" t="s">
        <v>51</v>
      </c>
      <c r="G9" s="165"/>
      <c r="H9" s="133">
        <v>0</v>
      </c>
      <c r="I9" s="44">
        <f t="shared" ref="I9:I44" si="4">U9</f>
        <v>0.31269507954832859</v>
      </c>
      <c r="J9" s="44">
        <f t="shared" ref="J9:J44" si="5">I9*H9</f>
        <v>0</v>
      </c>
      <c r="K9" s="21"/>
      <c r="L9" s="21"/>
      <c r="M9" s="51">
        <v>800</v>
      </c>
      <c r="N9" s="52">
        <v>9.0999999999999998E-2</v>
      </c>
      <c r="O9" s="53">
        <v>4</v>
      </c>
      <c r="P9">
        <f>M9/O3</f>
        <v>0.18849555921538763</v>
      </c>
      <c r="Q9">
        <f>1+(O9/O4)</f>
        <v>3.6516127970388474</v>
      </c>
      <c r="R9">
        <f t="shared" si="0"/>
        <v>0.52079232374592266</v>
      </c>
      <c r="S9">
        <f t="shared" si="1"/>
        <v>2.8294212105225834E-2</v>
      </c>
      <c r="T9">
        <f t="shared" si="2"/>
        <v>1500</v>
      </c>
      <c r="U9" s="66">
        <f t="shared" si="3"/>
        <v>0.31269507954832859</v>
      </c>
    </row>
    <row r="10" spans="1:21">
      <c r="A10" s="163"/>
      <c r="B10" s="164"/>
      <c r="C10" s="164" t="s">
        <v>54</v>
      </c>
      <c r="D10" s="164"/>
      <c r="E10" s="164"/>
      <c r="F10" s="164" t="s">
        <v>55</v>
      </c>
      <c r="G10" s="165"/>
      <c r="H10" s="133">
        <v>0</v>
      </c>
      <c r="I10" s="44">
        <f t="shared" si="4"/>
        <v>0.23372837765794685</v>
      </c>
      <c r="J10" s="44">
        <f t="shared" si="5"/>
        <v>0</v>
      </c>
      <c r="K10" s="21"/>
      <c r="L10" s="21"/>
      <c r="M10" s="51">
        <v>800</v>
      </c>
      <c r="N10" s="52">
        <v>5.6000000000000001E-2</v>
      </c>
      <c r="O10" s="53">
        <v>3.9</v>
      </c>
      <c r="P10">
        <f>M10/O3</f>
        <v>0.18849555921538763</v>
      </c>
      <c r="Q10">
        <f>1+(O10/O4)</f>
        <v>3.5853224771128764</v>
      </c>
      <c r="R10">
        <f t="shared" si="0"/>
        <v>0.38927361793370874</v>
      </c>
      <c r="S10">
        <f t="shared" si="1"/>
        <v>2.8294212105225834E-2</v>
      </c>
      <c r="T10">
        <f t="shared" si="2"/>
        <v>1500</v>
      </c>
      <c r="U10" s="66">
        <f t="shared" si="3"/>
        <v>0.23372837765794685</v>
      </c>
    </row>
    <row r="11" spans="1:21">
      <c r="A11" s="163"/>
      <c r="B11" s="164"/>
      <c r="C11" s="164" t="s">
        <v>54</v>
      </c>
      <c r="D11" s="164"/>
      <c r="E11" s="164"/>
      <c r="F11" s="164" t="s">
        <v>56</v>
      </c>
      <c r="G11" s="165"/>
      <c r="H11" s="133">
        <v>0</v>
      </c>
      <c r="I11" s="44">
        <f t="shared" si="4"/>
        <v>0.25525543645027599</v>
      </c>
      <c r="J11" s="44">
        <f t="shared" si="5"/>
        <v>0</v>
      </c>
      <c r="K11" s="21"/>
      <c r="L11" s="21"/>
      <c r="M11" s="51">
        <v>800</v>
      </c>
      <c r="N11" s="52">
        <v>6.6000000000000003E-2</v>
      </c>
      <c r="O11" s="53">
        <v>3.9</v>
      </c>
      <c r="P11">
        <f>M11/O3</f>
        <v>0.18849555921538763</v>
      </c>
      <c r="Q11">
        <f>1+(O11/O4)</f>
        <v>3.5853224771128764</v>
      </c>
      <c r="R11">
        <f t="shared" si="0"/>
        <v>0.42512684270483747</v>
      </c>
      <c r="S11">
        <f t="shared" si="1"/>
        <v>2.8294212105225834E-2</v>
      </c>
      <c r="T11">
        <f t="shared" si="2"/>
        <v>1500</v>
      </c>
      <c r="U11" s="66">
        <f t="shared" si="3"/>
        <v>0.25525543645027599</v>
      </c>
    </row>
    <row r="12" spans="1:21">
      <c r="A12" s="163"/>
      <c r="B12" s="164"/>
      <c r="C12" s="164" t="s">
        <v>54</v>
      </c>
      <c r="D12" s="164"/>
      <c r="E12" s="164"/>
      <c r="F12" s="164" t="s">
        <v>57</v>
      </c>
      <c r="G12" s="165"/>
      <c r="H12" s="133">
        <v>0</v>
      </c>
      <c r="I12" s="44">
        <f t="shared" si="4"/>
        <v>0.28358527426861041</v>
      </c>
      <c r="J12" s="44">
        <f t="shared" si="5"/>
        <v>0</v>
      </c>
      <c r="K12" s="21"/>
      <c r="L12" s="21"/>
      <c r="M12" s="51">
        <v>800</v>
      </c>
      <c r="N12" s="52">
        <v>7.4999999999999997E-2</v>
      </c>
      <c r="O12" s="53">
        <v>4.2</v>
      </c>
      <c r="P12">
        <f>M12/O3</f>
        <v>0.18849555921538763</v>
      </c>
      <c r="Q12">
        <f>1+(O12/O4)</f>
        <v>3.7841934368907899</v>
      </c>
      <c r="R12">
        <f t="shared" si="0"/>
        <v>0.47231006698219685</v>
      </c>
      <c r="S12">
        <f t="shared" si="1"/>
        <v>2.8294212105225834E-2</v>
      </c>
      <c r="T12">
        <f t="shared" si="2"/>
        <v>1500</v>
      </c>
      <c r="U12" s="66">
        <f t="shared" si="3"/>
        <v>0.28358527426861041</v>
      </c>
    </row>
    <row r="13" spans="1:21">
      <c r="A13" s="163"/>
      <c r="B13" s="164"/>
      <c r="C13" s="164" t="s">
        <v>58</v>
      </c>
      <c r="D13" s="164"/>
      <c r="E13" s="164"/>
      <c r="F13" s="164" t="s">
        <v>59</v>
      </c>
      <c r="G13" s="165"/>
      <c r="H13" s="133">
        <v>0</v>
      </c>
      <c r="I13" s="44">
        <f t="shared" si="4"/>
        <v>0.73344822980530311</v>
      </c>
      <c r="J13" s="44">
        <f t="shared" si="5"/>
        <v>0</v>
      </c>
      <c r="K13" s="21"/>
      <c r="L13" s="21"/>
      <c r="M13" s="51">
        <v>1000</v>
      </c>
      <c r="N13" s="52">
        <v>0.27</v>
      </c>
      <c r="O13" s="53">
        <v>4</v>
      </c>
      <c r="P13">
        <f>M13/O3</f>
        <v>0.23561944901923454</v>
      </c>
      <c r="Q13">
        <f>1+(O13/O4)</f>
        <v>3.6516127970388474</v>
      </c>
      <c r="R13">
        <f t="shared" si="0"/>
        <v>1.2215549042197233</v>
      </c>
      <c r="S13">
        <f t="shared" si="1"/>
        <v>2.8294212105225834E-2</v>
      </c>
      <c r="T13">
        <f t="shared" si="2"/>
        <v>1500</v>
      </c>
      <c r="U13" s="66">
        <f t="shared" si="3"/>
        <v>0.73344822980530311</v>
      </c>
    </row>
    <row r="14" spans="1:21">
      <c r="A14" s="163"/>
      <c r="B14" s="164"/>
      <c r="C14" s="164" t="s">
        <v>58</v>
      </c>
      <c r="D14" s="164"/>
      <c r="E14" s="164"/>
      <c r="F14" s="164" t="s">
        <v>60</v>
      </c>
      <c r="G14" s="165"/>
      <c r="H14" s="133">
        <v>0</v>
      </c>
      <c r="I14" s="44">
        <f t="shared" si="4"/>
        <v>0.26497394130701912</v>
      </c>
      <c r="J14" s="44">
        <f t="shared" si="5"/>
        <v>0</v>
      </c>
      <c r="K14" s="21"/>
      <c r="L14" s="21"/>
      <c r="M14" s="51">
        <v>800</v>
      </c>
      <c r="N14" s="52">
        <v>6.8000000000000005E-2</v>
      </c>
      <c r="O14" s="53">
        <v>4.0999999999999996</v>
      </c>
      <c r="P14">
        <f>M14/O3</f>
        <v>0.18849555921538763</v>
      </c>
      <c r="Q14">
        <f>1+(O14/O4)</f>
        <v>3.7179031169648185</v>
      </c>
      <c r="R14">
        <f t="shared" si="0"/>
        <v>0.44131297116899532</v>
      </c>
      <c r="S14">
        <f t="shared" si="1"/>
        <v>2.8294212105225834E-2</v>
      </c>
      <c r="T14">
        <f t="shared" si="2"/>
        <v>1500</v>
      </c>
      <c r="U14" s="66">
        <f t="shared" si="3"/>
        <v>0.26497394130701912</v>
      </c>
    </row>
    <row r="15" spans="1:21">
      <c r="A15" s="163"/>
      <c r="B15" s="164"/>
      <c r="C15" s="164" t="s">
        <v>58</v>
      </c>
      <c r="D15" s="164"/>
      <c r="E15" s="164"/>
      <c r="F15" s="164" t="s">
        <v>61</v>
      </c>
      <c r="G15" s="165"/>
      <c r="H15" s="133">
        <v>0</v>
      </c>
      <c r="I15" s="44">
        <f t="shared" si="4"/>
        <v>0.19270078048316669</v>
      </c>
      <c r="J15" s="44">
        <f t="shared" si="5"/>
        <v>0</v>
      </c>
      <c r="K15" s="21"/>
      <c r="L15" s="21"/>
      <c r="M15" s="51">
        <v>800</v>
      </c>
      <c r="N15" s="52">
        <v>3.5000000000000003E-2</v>
      </c>
      <c r="O15" s="53">
        <v>4.2</v>
      </c>
      <c r="P15">
        <f>M15/O3</f>
        <v>0.18849555921538763</v>
      </c>
      <c r="Q15">
        <f>1+(O15/O4)</f>
        <v>3.7841934368907899</v>
      </c>
      <c r="R15">
        <f t="shared" si="0"/>
        <v>0.32094232950656532</v>
      </c>
      <c r="S15">
        <f t="shared" si="1"/>
        <v>2.8294212105225834E-2</v>
      </c>
      <c r="T15">
        <f t="shared" si="2"/>
        <v>1500</v>
      </c>
      <c r="U15" s="66">
        <f t="shared" si="3"/>
        <v>0.19270078048316669</v>
      </c>
    </row>
    <row r="16" spans="1:21">
      <c r="A16" s="163" t="s">
        <v>62</v>
      </c>
      <c r="B16" s="164"/>
      <c r="C16" s="164" t="s">
        <v>50</v>
      </c>
      <c r="D16" s="164"/>
      <c r="E16" s="164"/>
      <c r="F16" s="164" t="s">
        <v>51</v>
      </c>
      <c r="G16" s="165"/>
      <c r="H16" s="133">
        <v>0</v>
      </c>
      <c r="I16" s="44">
        <f t="shared" si="4"/>
        <v>0.23205550673222733</v>
      </c>
      <c r="J16" s="44">
        <f t="shared" si="5"/>
        <v>0</v>
      </c>
      <c r="K16" s="21"/>
      <c r="L16" s="21"/>
      <c r="M16" s="51">
        <v>500</v>
      </c>
      <c r="N16" s="52">
        <v>7.0999999999999994E-2</v>
      </c>
      <c r="O16" s="53">
        <v>4.2</v>
      </c>
      <c r="P16">
        <f>M16/O3</f>
        <v>0.11780972450961727</v>
      </c>
      <c r="Q16">
        <f>1+(O16/O4)</f>
        <v>3.7841934368907899</v>
      </c>
      <c r="R16">
        <f t="shared" si="0"/>
        <v>0.38648745852886335</v>
      </c>
      <c r="S16">
        <f t="shared" si="1"/>
        <v>2.8294212105225834E-2</v>
      </c>
      <c r="T16">
        <f t="shared" si="2"/>
        <v>1500</v>
      </c>
      <c r="U16" s="66">
        <f t="shared" si="3"/>
        <v>0.23205550673222733</v>
      </c>
    </row>
    <row r="17" spans="1:21">
      <c r="A17" s="163"/>
      <c r="B17" s="164"/>
      <c r="C17" s="164" t="s">
        <v>63</v>
      </c>
      <c r="D17" s="164"/>
      <c r="E17" s="164"/>
      <c r="F17" s="164" t="s">
        <v>53</v>
      </c>
      <c r="G17" s="165"/>
      <c r="H17" s="133">
        <v>0</v>
      </c>
      <c r="I17" s="44">
        <f t="shared" si="4"/>
        <v>0.18474594805016475</v>
      </c>
      <c r="J17" s="44">
        <f t="shared" si="5"/>
        <v>0</v>
      </c>
      <c r="K17" s="21"/>
      <c r="L17" s="21"/>
      <c r="M17" s="51">
        <v>500</v>
      </c>
      <c r="N17" s="52">
        <v>5.1999999999999998E-2</v>
      </c>
      <c r="O17" s="53">
        <v>4</v>
      </c>
      <c r="P17">
        <f>M17/O3</f>
        <v>0.11780972450961727</v>
      </c>
      <c r="Q17">
        <f>1+(O17/O4)</f>
        <v>3.6516127970388474</v>
      </c>
      <c r="R17">
        <f t="shared" si="0"/>
        <v>0.30769358995563734</v>
      </c>
      <c r="S17">
        <f t="shared" si="1"/>
        <v>2.8294212105225834E-2</v>
      </c>
      <c r="T17">
        <f t="shared" si="2"/>
        <v>1500</v>
      </c>
      <c r="U17" s="66">
        <f t="shared" si="3"/>
        <v>0.18474594805016475</v>
      </c>
    </row>
    <row r="18" spans="1:21">
      <c r="A18" s="163"/>
      <c r="B18" s="164"/>
      <c r="C18" s="164" t="s">
        <v>64</v>
      </c>
      <c r="D18" s="164"/>
      <c r="E18" s="164"/>
      <c r="F18" s="164" t="s">
        <v>65</v>
      </c>
      <c r="G18" s="165"/>
      <c r="H18" s="133">
        <v>0</v>
      </c>
      <c r="I18" s="44">
        <f t="shared" si="4"/>
        <v>0.25929122121865328</v>
      </c>
      <c r="J18" s="44">
        <f t="shared" si="5"/>
        <v>0</v>
      </c>
      <c r="K18" s="21"/>
      <c r="L18" s="21"/>
      <c r="M18" s="51">
        <v>500</v>
      </c>
      <c r="N18" s="52">
        <v>8.5999999999999993E-2</v>
      </c>
      <c r="O18" s="53">
        <v>4</v>
      </c>
      <c r="P18">
        <f>M18/O3</f>
        <v>0.11780972450961727</v>
      </c>
      <c r="Q18">
        <f>1+(O18/O4)</f>
        <v>3.6516127970388474</v>
      </c>
      <c r="R18">
        <f t="shared" si="0"/>
        <v>0.43184842505495813</v>
      </c>
      <c r="S18">
        <f t="shared" si="1"/>
        <v>2.8294212105225834E-2</v>
      </c>
      <c r="T18">
        <f t="shared" si="2"/>
        <v>1500</v>
      </c>
      <c r="U18" s="66">
        <f t="shared" si="3"/>
        <v>0.25929122121865328</v>
      </c>
    </row>
    <row r="19" spans="1:21">
      <c r="A19" s="163"/>
      <c r="B19" s="164"/>
      <c r="C19" s="164" t="s">
        <v>66</v>
      </c>
      <c r="D19" s="164"/>
      <c r="E19" s="164"/>
      <c r="F19" s="164" t="s">
        <v>67</v>
      </c>
      <c r="G19" s="165"/>
      <c r="H19" s="133">
        <v>0</v>
      </c>
      <c r="I19" s="44">
        <f t="shared" si="4"/>
        <v>0.18474594805016475</v>
      </c>
      <c r="J19" s="44">
        <f t="shared" si="5"/>
        <v>0</v>
      </c>
      <c r="K19" s="21"/>
      <c r="L19" s="21"/>
      <c r="M19" s="51">
        <v>500</v>
      </c>
      <c r="N19" s="52">
        <v>5.1999999999999998E-2</v>
      </c>
      <c r="O19" s="53">
        <v>4</v>
      </c>
      <c r="P19">
        <f>M19/O3</f>
        <v>0.11780972450961727</v>
      </c>
      <c r="Q19">
        <f>1+(O19/O4)</f>
        <v>3.6516127970388474</v>
      </c>
      <c r="R19">
        <f t="shared" si="0"/>
        <v>0.30769358995563734</v>
      </c>
      <c r="S19">
        <f t="shared" si="1"/>
        <v>2.8294212105225834E-2</v>
      </c>
      <c r="T19">
        <f t="shared" si="2"/>
        <v>1500</v>
      </c>
      <c r="U19" s="66">
        <f t="shared" si="3"/>
        <v>0.18474594805016475</v>
      </c>
    </row>
    <row r="20" spans="1:21">
      <c r="A20" s="163" t="s">
        <v>68</v>
      </c>
      <c r="B20" s="164"/>
      <c r="C20" s="164" t="s">
        <v>69</v>
      </c>
      <c r="D20" s="164"/>
      <c r="E20" s="164"/>
      <c r="F20" s="164" t="s">
        <v>51</v>
      </c>
      <c r="G20" s="165"/>
      <c r="H20" s="133">
        <v>0</v>
      </c>
      <c r="I20" s="44">
        <f t="shared" si="4"/>
        <v>0.6457479084306107</v>
      </c>
      <c r="J20" s="44">
        <f t="shared" si="5"/>
        <v>0</v>
      </c>
      <c r="K20" s="21"/>
      <c r="L20" s="21"/>
      <c r="M20" s="51">
        <v>1000</v>
      </c>
      <c r="N20" s="52">
        <v>0.23</v>
      </c>
      <c r="O20" s="53">
        <v>4</v>
      </c>
      <c r="P20">
        <f>M20/O3</f>
        <v>0.23561944901923454</v>
      </c>
      <c r="Q20">
        <f>1+(O20/O4)</f>
        <v>3.6516127970388474</v>
      </c>
      <c r="R20">
        <f t="shared" si="0"/>
        <v>1.0754903923381696</v>
      </c>
      <c r="S20">
        <f t="shared" si="1"/>
        <v>2.8294212105225834E-2</v>
      </c>
      <c r="T20">
        <f t="shared" si="2"/>
        <v>1500</v>
      </c>
      <c r="U20" s="66">
        <f t="shared" si="3"/>
        <v>0.6457479084306107</v>
      </c>
    </row>
    <row r="21" spans="1:21">
      <c r="A21" s="163"/>
      <c r="B21" s="164"/>
      <c r="C21" s="164" t="s">
        <v>70</v>
      </c>
      <c r="D21" s="164"/>
      <c r="E21" s="164"/>
      <c r="F21" s="164" t="s">
        <v>51</v>
      </c>
      <c r="G21" s="165"/>
      <c r="H21" s="137">
        <v>0</v>
      </c>
      <c r="I21" s="44">
        <f t="shared" si="4"/>
        <v>0.40457202465020647</v>
      </c>
      <c r="J21" s="44">
        <f t="shared" si="5"/>
        <v>0</v>
      </c>
      <c r="K21" s="21"/>
      <c r="L21" s="21"/>
      <c r="M21" s="51">
        <v>1000</v>
      </c>
      <c r="N21" s="52">
        <v>0.12</v>
      </c>
      <c r="O21" s="53">
        <v>4</v>
      </c>
      <c r="P21">
        <f>M21/O3</f>
        <v>0.23561944901923454</v>
      </c>
      <c r="Q21">
        <f>1+(O21/O4)</f>
        <v>3.6516127970388474</v>
      </c>
      <c r="R21">
        <f t="shared" si="0"/>
        <v>0.67381298466389627</v>
      </c>
      <c r="S21">
        <f t="shared" si="1"/>
        <v>2.8294212105225834E-2</v>
      </c>
      <c r="T21">
        <f t="shared" si="2"/>
        <v>1500</v>
      </c>
      <c r="U21" s="66">
        <f t="shared" si="3"/>
        <v>0.40457202465020647</v>
      </c>
    </row>
    <row r="22" spans="1:21" ht="13.5" thickBot="1">
      <c r="A22" s="176"/>
      <c r="B22" s="173"/>
      <c r="C22" s="173" t="s">
        <v>71</v>
      </c>
      <c r="D22" s="173"/>
      <c r="E22" s="173"/>
      <c r="F22" s="173" t="s">
        <v>53</v>
      </c>
      <c r="G22" s="175"/>
      <c r="H22" s="134">
        <v>1</v>
      </c>
      <c r="I22" s="44">
        <f t="shared" si="4"/>
        <v>0.36072186396286027</v>
      </c>
      <c r="J22" s="44">
        <f t="shared" si="5"/>
        <v>0.36072186396286027</v>
      </c>
      <c r="K22" s="21"/>
      <c r="L22" s="21"/>
      <c r="M22" s="54">
        <v>1000</v>
      </c>
      <c r="N22" s="55">
        <v>0.1</v>
      </c>
      <c r="O22" s="56">
        <v>4</v>
      </c>
      <c r="P22">
        <f>M22/O3</f>
        <v>0.23561944901923454</v>
      </c>
      <c r="Q22">
        <f>1+(O22/O4)</f>
        <v>3.6516127970388474</v>
      </c>
      <c r="R22">
        <f t="shared" si="0"/>
        <v>0.60078072872311927</v>
      </c>
      <c r="S22">
        <f t="shared" si="1"/>
        <v>2.8294212105225834E-2</v>
      </c>
      <c r="T22">
        <f t="shared" si="2"/>
        <v>1500</v>
      </c>
      <c r="U22" s="67">
        <f t="shared" si="3"/>
        <v>0.36072186396286027</v>
      </c>
    </row>
    <row r="23" spans="1:21" ht="13.5" thickBot="1">
      <c r="A23" s="44"/>
      <c r="B23" s="44"/>
      <c r="C23" s="57"/>
      <c r="D23" s="57"/>
      <c r="E23" s="57"/>
      <c r="F23" s="44"/>
      <c r="G23" s="44"/>
      <c r="H23" s="44"/>
      <c r="I23" s="44"/>
      <c r="J23" s="44"/>
      <c r="K23" s="21"/>
      <c r="L23" s="21"/>
      <c r="M23" s="58"/>
      <c r="N23" s="58"/>
      <c r="O23" s="58"/>
    </row>
    <row r="24" spans="1:21" ht="13.5" thickBot="1">
      <c r="A24" s="160" t="s">
        <v>72</v>
      </c>
      <c r="B24" s="162"/>
      <c r="C24" s="177" t="s">
        <v>73</v>
      </c>
      <c r="D24" s="177"/>
      <c r="E24" s="177"/>
      <c r="F24" s="178"/>
      <c r="G24" s="162"/>
      <c r="H24" s="64" t="s">
        <v>18</v>
      </c>
      <c r="I24" s="44"/>
      <c r="J24" s="44"/>
      <c r="K24" s="21"/>
      <c r="L24" s="21"/>
      <c r="M24" s="59"/>
      <c r="N24" s="59"/>
      <c r="O24" s="59"/>
    </row>
    <row r="25" spans="1:21">
      <c r="A25" s="168"/>
      <c r="B25" s="169"/>
      <c r="C25" s="164" t="s">
        <v>74</v>
      </c>
      <c r="D25" s="164"/>
      <c r="E25" s="164"/>
      <c r="F25" s="170" t="s">
        <v>51</v>
      </c>
      <c r="G25" s="165"/>
      <c r="H25" s="136">
        <v>1</v>
      </c>
      <c r="I25" s="44">
        <f t="shared" si="4"/>
        <v>0.67148273167970773</v>
      </c>
      <c r="J25" s="44">
        <f t="shared" si="5"/>
        <v>0.67148273167970773</v>
      </c>
      <c r="K25" s="21"/>
      <c r="L25" s="21"/>
      <c r="M25" s="60">
        <v>500</v>
      </c>
      <c r="N25" s="61">
        <v>0.27400000000000002</v>
      </c>
      <c r="O25" s="62">
        <v>4</v>
      </c>
      <c r="P25">
        <f>M25/O3</f>
        <v>0.11780972450961727</v>
      </c>
      <c r="Q25">
        <f>1+(O25/O4)</f>
        <v>3.6516127970388474</v>
      </c>
      <c r="R25">
        <f t="shared" si="0"/>
        <v>1.1183516308982615</v>
      </c>
      <c r="S25">
        <f>S5</f>
        <v>2.8294212105225834E-2</v>
      </c>
      <c r="T25">
        <f>T5</f>
        <v>1500</v>
      </c>
      <c r="U25" s="65">
        <f t="shared" si="3"/>
        <v>0.67148273167970773</v>
      </c>
    </row>
    <row r="26" spans="1:21">
      <c r="A26" s="168"/>
      <c r="B26" s="169"/>
      <c r="C26" s="164" t="s">
        <v>74</v>
      </c>
      <c r="D26" s="164"/>
      <c r="E26" s="164"/>
      <c r="F26" s="170" t="s">
        <v>53</v>
      </c>
      <c r="G26" s="165"/>
      <c r="H26" s="133">
        <v>0</v>
      </c>
      <c r="I26" s="44">
        <f t="shared" si="4"/>
        <v>0.42012797323232687</v>
      </c>
      <c r="J26" s="44">
        <f t="shared" si="5"/>
        <v>0</v>
      </c>
      <c r="K26" s="21"/>
      <c r="L26" s="21"/>
      <c r="M26" s="51">
        <v>800</v>
      </c>
      <c r="N26" s="52">
        <v>0.14000000000000001</v>
      </c>
      <c r="O26" s="53">
        <v>4</v>
      </c>
      <c r="P26">
        <f>M26/O3</f>
        <v>0.18849555921538763</v>
      </c>
      <c r="Q26">
        <f>1+(O26/O4)</f>
        <v>3.6516127970388474</v>
      </c>
      <c r="R26">
        <f t="shared" si="0"/>
        <v>0.69972135080082631</v>
      </c>
      <c r="S26">
        <f>S5</f>
        <v>2.8294212105225834E-2</v>
      </c>
      <c r="T26">
        <f>T5</f>
        <v>1500</v>
      </c>
      <c r="U26" s="66">
        <f t="shared" si="3"/>
        <v>0.42012797323232687</v>
      </c>
    </row>
    <row r="27" spans="1:21">
      <c r="A27" s="168"/>
      <c r="B27" s="169"/>
      <c r="C27" s="164" t="s">
        <v>70</v>
      </c>
      <c r="D27" s="164"/>
      <c r="E27" s="164"/>
      <c r="F27" s="170" t="s">
        <v>51</v>
      </c>
      <c r="G27" s="165"/>
      <c r="H27" s="133">
        <v>0</v>
      </c>
      <c r="I27" s="44">
        <f t="shared" si="4"/>
        <v>0.72707909804375037</v>
      </c>
      <c r="J27" s="44">
        <f t="shared" si="5"/>
        <v>0</v>
      </c>
      <c r="K27" s="21"/>
      <c r="L27" s="21"/>
      <c r="M27" s="51">
        <v>800</v>
      </c>
      <c r="N27" s="52">
        <v>0.28000000000000003</v>
      </c>
      <c r="O27" s="53">
        <v>4</v>
      </c>
      <c r="P27">
        <f>M27/O3</f>
        <v>0.18849555921538763</v>
      </c>
      <c r="Q27">
        <f>1+(O27/O4)</f>
        <v>3.6516127970388474</v>
      </c>
      <c r="R27">
        <f t="shared" si="0"/>
        <v>1.210947142386265</v>
      </c>
      <c r="S27">
        <f>S25</f>
        <v>2.8294212105225834E-2</v>
      </c>
      <c r="T27">
        <f t="shared" si="2"/>
        <v>1500</v>
      </c>
      <c r="U27" s="66">
        <f t="shared" si="3"/>
        <v>0.72707909804375037</v>
      </c>
    </row>
    <row r="28" spans="1:21">
      <c r="A28" s="168"/>
      <c r="B28" s="169"/>
      <c r="C28" s="164" t="s">
        <v>75</v>
      </c>
      <c r="D28" s="164"/>
      <c r="E28" s="164"/>
      <c r="F28" s="170"/>
      <c r="G28" s="165"/>
      <c r="H28" s="133">
        <v>0</v>
      </c>
      <c r="I28" s="44">
        <f t="shared" si="4"/>
        <v>0.88692379221101481</v>
      </c>
      <c r="J28" s="44">
        <f t="shared" si="5"/>
        <v>0</v>
      </c>
      <c r="K28" s="21"/>
      <c r="L28" s="21"/>
      <c r="M28" s="51">
        <v>1000</v>
      </c>
      <c r="N28" s="52">
        <v>0.34</v>
      </c>
      <c r="O28" s="53">
        <v>4</v>
      </c>
      <c r="P28">
        <f>M28/O3</f>
        <v>0.23561944901923454</v>
      </c>
      <c r="Q28">
        <f>1+(O28/O4)</f>
        <v>3.6516127970388474</v>
      </c>
      <c r="R28">
        <f t="shared" si="0"/>
        <v>1.4771678000124426</v>
      </c>
      <c r="S28">
        <f>S26</f>
        <v>2.8294212105225834E-2</v>
      </c>
      <c r="T28">
        <f t="shared" si="2"/>
        <v>1500</v>
      </c>
      <c r="U28" s="66">
        <f t="shared" si="3"/>
        <v>0.88692379221101481</v>
      </c>
    </row>
    <row r="29" spans="1:21">
      <c r="A29" s="168"/>
      <c r="B29" s="169"/>
      <c r="C29" s="164" t="s">
        <v>76</v>
      </c>
      <c r="D29" s="164"/>
      <c r="E29" s="164"/>
      <c r="F29" s="170" t="s">
        <v>51</v>
      </c>
      <c r="G29" s="165"/>
      <c r="H29" s="133">
        <v>0</v>
      </c>
      <c r="I29" s="44">
        <f t="shared" si="4"/>
        <v>0.22781244323265107</v>
      </c>
      <c r="J29" s="44">
        <f t="shared" si="5"/>
        <v>0</v>
      </c>
      <c r="K29" s="21"/>
      <c r="L29" s="21"/>
      <c r="M29" s="51">
        <v>200</v>
      </c>
      <c r="N29" s="52">
        <v>9.0999999999999998E-2</v>
      </c>
      <c r="O29" s="53">
        <v>4</v>
      </c>
      <c r="P29">
        <f>M29/O3</f>
        <v>4.7123889803846908E-2</v>
      </c>
      <c r="Q29">
        <f>1+(O29/O4)</f>
        <v>3.6516127970388474</v>
      </c>
      <c r="R29">
        <f t="shared" si="0"/>
        <v>0.37942065433438199</v>
      </c>
      <c r="S29">
        <f>S27</f>
        <v>2.8294212105225834E-2</v>
      </c>
      <c r="T29">
        <f t="shared" si="2"/>
        <v>1500</v>
      </c>
      <c r="U29" s="66">
        <f t="shared" si="3"/>
        <v>0.22781244323265107</v>
      </c>
    </row>
    <row r="30" spans="1:21">
      <c r="A30" s="168"/>
      <c r="B30" s="169"/>
      <c r="C30" s="164" t="s">
        <v>70</v>
      </c>
      <c r="D30" s="164"/>
      <c r="E30" s="164"/>
      <c r="F30" s="170" t="s">
        <v>51</v>
      </c>
      <c r="G30" s="165"/>
      <c r="H30" s="133">
        <v>0</v>
      </c>
      <c r="I30" s="44">
        <f t="shared" si="4"/>
        <v>5.8493295663163671E-2</v>
      </c>
      <c r="J30" s="44">
        <f t="shared" si="5"/>
        <v>0</v>
      </c>
      <c r="K30" s="21"/>
      <c r="L30" s="21"/>
      <c r="M30" s="51">
        <v>150</v>
      </c>
      <c r="N30" s="52">
        <v>1.7000000000000001E-2</v>
      </c>
      <c r="O30" s="53">
        <v>4</v>
      </c>
      <c r="P30">
        <f>M30/O3</f>
        <v>3.5342917352885181E-2</v>
      </c>
      <c r="Q30">
        <f>1+(O30/O4)</f>
        <v>3.6516127970388474</v>
      </c>
      <c r="R30">
        <f t="shared" si="0"/>
        <v>9.7420334902545591E-2</v>
      </c>
      <c r="S30">
        <f>S28</f>
        <v>2.8294212105225834E-2</v>
      </c>
      <c r="T30">
        <f t="shared" si="2"/>
        <v>1500</v>
      </c>
      <c r="U30" s="66">
        <f t="shared" si="3"/>
        <v>5.8493295663163671E-2</v>
      </c>
    </row>
    <row r="31" spans="1:21" ht="13.5" thickBot="1">
      <c r="A31" s="171"/>
      <c r="B31" s="172"/>
      <c r="C31" s="173" t="s">
        <v>75</v>
      </c>
      <c r="D31" s="173"/>
      <c r="E31" s="173"/>
      <c r="F31" s="174"/>
      <c r="G31" s="175"/>
      <c r="H31" s="134">
        <v>1</v>
      </c>
      <c r="I31" s="44">
        <f t="shared" si="4"/>
        <v>1.4147106052612919E-2</v>
      </c>
      <c r="J31" s="44">
        <f t="shared" si="5"/>
        <v>1.4147106052612919E-2</v>
      </c>
      <c r="K31" s="21"/>
      <c r="L31" s="21"/>
      <c r="M31" s="54">
        <v>100</v>
      </c>
      <c r="N31" s="55">
        <v>0</v>
      </c>
      <c r="O31" s="56">
        <v>0</v>
      </c>
      <c r="P31">
        <f>M31/O3</f>
        <v>2.3561944901923454E-2</v>
      </c>
      <c r="Q31">
        <f>1+(O31/O4)</f>
        <v>1</v>
      </c>
      <c r="R31">
        <f t="shared" si="0"/>
        <v>2.3561944901923454E-2</v>
      </c>
      <c r="S31">
        <f>S29</f>
        <v>2.8294212105225834E-2</v>
      </c>
      <c r="T31">
        <f t="shared" si="2"/>
        <v>1500</v>
      </c>
      <c r="U31" s="67">
        <f t="shared" si="3"/>
        <v>1.4147106052612919E-2</v>
      </c>
    </row>
    <row r="32" spans="1:21" ht="13.5" thickBo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21"/>
      <c r="L32" s="21"/>
      <c r="M32" s="58"/>
      <c r="N32" s="58"/>
      <c r="O32" s="58"/>
    </row>
    <row r="33" spans="1:21" ht="13.5" thickBot="1">
      <c r="A33" s="166" t="s">
        <v>77</v>
      </c>
      <c r="B33" s="167"/>
      <c r="C33" s="167"/>
      <c r="D33" s="167"/>
      <c r="E33" s="167"/>
      <c r="F33" s="167"/>
      <c r="G33" s="167"/>
      <c r="H33" s="63" t="s">
        <v>18</v>
      </c>
      <c r="I33" s="44"/>
      <c r="J33" s="44"/>
      <c r="K33" s="21"/>
      <c r="L33" s="21"/>
      <c r="M33" s="59"/>
      <c r="N33" s="59"/>
      <c r="O33" s="59"/>
    </row>
    <row r="34" spans="1:21">
      <c r="A34" s="160" t="s">
        <v>78</v>
      </c>
      <c r="B34" s="161"/>
      <c r="C34" s="161"/>
      <c r="D34" s="161" t="s">
        <v>79</v>
      </c>
      <c r="E34" s="161"/>
      <c r="F34" s="161"/>
      <c r="G34" s="162"/>
      <c r="H34" s="136">
        <v>1</v>
      </c>
      <c r="I34" s="44">
        <f t="shared" si="4"/>
        <v>0.68252451609165044</v>
      </c>
      <c r="J34" s="44">
        <f t="shared" si="5"/>
        <v>0.68252451609165044</v>
      </c>
      <c r="K34" s="21"/>
      <c r="L34" s="21"/>
      <c r="M34" s="60">
        <v>950</v>
      </c>
      <c r="N34" s="61">
        <v>0.25</v>
      </c>
      <c r="O34" s="62">
        <v>4</v>
      </c>
      <c r="P34">
        <f>M34/O3</f>
        <v>0.2238384765682728</v>
      </c>
      <c r="Q34">
        <f>1+(O34/O4)</f>
        <v>3.6516127970388474</v>
      </c>
      <c r="R34">
        <f t="shared" si="0"/>
        <v>1.1367416758279847</v>
      </c>
      <c r="S34">
        <f>S5</f>
        <v>2.8294212105225834E-2</v>
      </c>
      <c r="T34">
        <f>T5</f>
        <v>1500</v>
      </c>
      <c r="U34" s="65">
        <f t="shared" si="3"/>
        <v>0.68252451609165044</v>
      </c>
    </row>
    <row r="35" spans="1:21">
      <c r="A35" s="163" t="s">
        <v>80</v>
      </c>
      <c r="B35" s="164"/>
      <c r="C35" s="164"/>
      <c r="D35" s="164" t="s">
        <v>79</v>
      </c>
      <c r="E35" s="164"/>
      <c r="F35" s="164"/>
      <c r="G35" s="165"/>
      <c r="H35" s="133">
        <v>0</v>
      </c>
      <c r="I35" s="44">
        <f t="shared" si="4"/>
        <v>1.6543016042395733</v>
      </c>
      <c r="J35" s="44">
        <f t="shared" si="5"/>
        <v>0</v>
      </c>
      <c r="K35" s="21"/>
      <c r="L35" s="21"/>
      <c r="M35" s="51">
        <v>1000</v>
      </c>
      <c r="N35" s="52">
        <v>0.69</v>
      </c>
      <c r="O35" s="53">
        <v>4</v>
      </c>
      <c r="P35">
        <f>M35/O3</f>
        <v>0.23561944901923454</v>
      </c>
      <c r="Q35">
        <f>1+(O35/O4)</f>
        <v>3.6516127970388474</v>
      </c>
      <c r="R35">
        <f t="shared" si="0"/>
        <v>2.7552322789760391</v>
      </c>
      <c r="S35">
        <f>S6</f>
        <v>2.8294212105225834E-2</v>
      </c>
      <c r="T35">
        <f>T34</f>
        <v>1500</v>
      </c>
      <c r="U35" s="66">
        <f t="shared" si="3"/>
        <v>1.6543016042395733</v>
      </c>
    </row>
    <row r="36" spans="1:21">
      <c r="A36" s="163" t="s">
        <v>12</v>
      </c>
      <c r="B36" s="164"/>
      <c r="C36" s="164"/>
      <c r="D36" s="164" t="s">
        <v>16</v>
      </c>
      <c r="E36" s="164"/>
      <c r="F36" s="164"/>
      <c r="G36" s="165"/>
      <c r="H36" s="133">
        <v>0</v>
      </c>
      <c r="I36" s="44">
        <f t="shared" si="4"/>
        <v>3.6688155942997565</v>
      </c>
      <c r="J36" s="44">
        <f t="shared" si="5"/>
        <v>0</v>
      </c>
      <c r="K36" s="21"/>
      <c r="L36" s="21"/>
      <c r="M36" s="51">
        <v>1500</v>
      </c>
      <c r="N36" s="52">
        <v>1.7</v>
      </c>
      <c r="O36" s="53">
        <v>3.6</v>
      </c>
      <c r="P36">
        <f>M36/O3</f>
        <v>0.35342917352885178</v>
      </c>
      <c r="Q36">
        <f>1+(O36/O4)</f>
        <v>3.386451517334963</v>
      </c>
      <c r="R36">
        <f t="shared" si="0"/>
        <v>6.1103967529982892</v>
      </c>
      <c r="S36">
        <f t="shared" ref="S36:S42" si="6">S34</f>
        <v>2.8294212105225834E-2</v>
      </c>
      <c r="T36">
        <f t="shared" si="2"/>
        <v>1500</v>
      </c>
      <c r="U36" s="66">
        <f t="shared" si="3"/>
        <v>3.6688155942997565</v>
      </c>
    </row>
    <row r="37" spans="1:21">
      <c r="A37" s="163" t="s">
        <v>14</v>
      </c>
      <c r="B37" s="164"/>
      <c r="C37" s="164"/>
      <c r="D37" s="164" t="s">
        <v>17</v>
      </c>
      <c r="E37" s="164"/>
      <c r="F37" s="164"/>
      <c r="G37" s="165"/>
      <c r="H37" s="133">
        <v>0</v>
      </c>
      <c r="I37" s="44">
        <f t="shared" si="4"/>
        <v>0.96966382435366194</v>
      </c>
      <c r="J37" s="44">
        <f t="shared" si="5"/>
        <v>0</v>
      </c>
      <c r="K37" s="21"/>
      <c r="L37" s="21"/>
      <c r="M37" s="51">
        <v>500</v>
      </c>
      <c r="N37" s="52">
        <v>0.41</v>
      </c>
      <c r="O37" s="53">
        <v>4</v>
      </c>
      <c r="P37">
        <f>M37/O3</f>
        <v>0.11780972450961727</v>
      </c>
      <c r="Q37">
        <f>1+(O37/O4)</f>
        <v>3.6516127970388474</v>
      </c>
      <c r="R37">
        <f t="shared" si="0"/>
        <v>1.6149709712955447</v>
      </c>
      <c r="S37">
        <f t="shared" si="6"/>
        <v>2.8294212105225834E-2</v>
      </c>
      <c r="T37">
        <f t="shared" si="2"/>
        <v>1500</v>
      </c>
      <c r="U37" s="66">
        <f t="shared" si="3"/>
        <v>0.96966382435366194</v>
      </c>
    </row>
    <row r="38" spans="1:21">
      <c r="A38" s="163" t="s">
        <v>14</v>
      </c>
      <c r="B38" s="164"/>
      <c r="C38" s="164"/>
      <c r="D38" s="164" t="s">
        <v>81</v>
      </c>
      <c r="E38" s="164"/>
      <c r="F38" s="164"/>
      <c r="G38" s="165"/>
      <c r="H38" s="133">
        <v>0</v>
      </c>
      <c r="I38" s="44">
        <f t="shared" si="4"/>
        <v>0.22326861201340395</v>
      </c>
      <c r="J38" s="44">
        <f t="shared" si="5"/>
        <v>0</v>
      </c>
      <c r="K38" s="21"/>
      <c r="L38" s="21"/>
      <c r="M38" s="51">
        <v>300</v>
      </c>
      <c r="N38" s="52">
        <v>8.4000000000000005E-2</v>
      </c>
      <c r="O38" s="53">
        <v>3.9</v>
      </c>
      <c r="P38">
        <f>M38/O3</f>
        <v>7.0685834705770362E-2</v>
      </c>
      <c r="Q38">
        <f>1+(O38/O4)</f>
        <v>3.5853224771128764</v>
      </c>
      <c r="R38">
        <f t="shared" si="0"/>
        <v>0.37185292278325199</v>
      </c>
      <c r="S38">
        <f t="shared" si="6"/>
        <v>2.8294212105225834E-2</v>
      </c>
      <c r="T38">
        <f t="shared" si="2"/>
        <v>1500</v>
      </c>
      <c r="U38" s="66">
        <f t="shared" si="3"/>
        <v>0.22326861201340395</v>
      </c>
    </row>
    <row r="39" spans="1:21">
      <c r="A39" s="163" t="s">
        <v>14</v>
      </c>
      <c r="B39" s="164"/>
      <c r="C39" s="164"/>
      <c r="D39" s="164" t="s">
        <v>82</v>
      </c>
      <c r="E39" s="164"/>
      <c r="F39" s="164"/>
      <c r="G39" s="165"/>
      <c r="H39" s="133">
        <v>0</v>
      </c>
      <c r="I39" s="44">
        <f t="shared" si="4"/>
        <v>0.34939244296926231</v>
      </c>
      <c r="J39" s="44">
        <f t="shared" si="5"/>
        <v>0</v>
      </c>
      <c r="K39" s="21"/>
      <c r="L39" s="21"/>
      <c r="M39" s="51">
        <v>300</v>
      </c>
      <c r="N39" s="52">
        <v>0.14000000000000001</v>
      </c>
      <c r="O39" s="53">
        <v>4</v>
      </c>
      <c r="P39">
        <f>M39/O3</f>
        <v>7.0685834705770362E-2</v>
      </c>
      <c r="Q39">
        <f>1+(O39/O4)</f>
        <v>3.6516127970388474</v>
      </c>
      <c r="R39">
        <f t="shared" si="0"/>
        <v>0.58191162629120907</v>
      </c>
      <c r="S39">
        <f t="shared" si="6"/>
        <v>2.8294212105225834E-2</v>
      </c>
      <c r="T39">
        <f t="shared" si="2"/>
        <v>1500</v>
      </c>
      <c r="U39" s="66">
        <f t="shared" si="3"/>
        <v>0.34939244296926231</v>
      </c>
    </row>
    <row r="40" spans="1:21">
      <c r="A40" s="163" t="s">
        <v>13</v>
      </c>
      <c r="B40" s="164"/>
      <c r="C40" s="164"/>
      <c r="D40" s="164" t="s">
        <v>16</v>
      </c>
      <c r="E40" s="164"/>
      <c r="F40" s="164"/>
      <c r="G40" s="165"/>
      <c r="H40" s="133">
        <v>0</v>
      </c>
      <c r="I40" s="44">
        <f t="shared" si="4"/>
        <v>0.12209143568945677</v>
      </c>
      <c r="J40" s="44">
        <f t="shared" si="5"/>
        <v>0</v>
      </c>
      <c r="K40" s="21"/>
      <c r="L40" s="21"/>
      <c r="M40" s="51">
        <v>300</v>
      </c>
      <c r="N40" s="52">
        <v>3.6999999999999998E-2</v>
      </c>
      <c r="O40" s="53">
        <v>3.9</v>
      </c>
      <c r="P40">
        <f>M40/O3</f>
        <v>7.0685834705770362E-2</v>
      </c>
      <c r="Q40">
        <f>1+(O40/O4)</f>
        <v>3.5853224771128764</v>
      </c>
      <c r="R40">
        <f t="shared" si="0"/>
        <v>0.2033427663589468</v>
      </c>
      <c r="S40">
        <f t="shared" si="6"/>
        <v>2.8294212105225834E-2</v>
      </c>
      <c r="T40">
        <f t="shared" si="2"/>
        <v>1500</v>
      </c>
      <c r="U40" s="66">
        <f t="shared" si="3"/>
        <v>0.12209143568945677</v>
      </c>
    </row>
    <row r="41" spans="1:21">
      <c r="A41" s="163" t="s">
        <v>15</v>
      </c>
      <c r="B41" s="164"/>
      <c r="C41" s="164"/>
      <c r="D41" s="164" t="s">
        <v>16</v>
      </c>
      <c r="E41" s="164"/>
      <c r="F41" s="164"/>
      <c r="G41" s="165"/>
      <c r="H41" s="133">
        <v>0</v>
      </c>
      <c r="I41" s="44">
        <f t="shared" si="4"/>
        <v>7.2343777038269011E-2</v>
      </c>
      <c r="J41" s="44">
        <f t="shared" si="5"/>
        <v>0</v>
      </c>
      <c r="K41" s="21"/>
      <c r="L41" s="21"/>
      <c r="M41" s="51">
        <v>300</v>
      </c>
      <c r="N41" s="52">
        <v>1.4999999999999999E-2</v>
      </c>
      <c r="O41" s="53">
        <v>3.5</v>
      </c>
      <c r="P41">
        <f>M41/O3</f>
        <v>7.0685834705770362E-2</v>
      </c>
      <c r="Q41">
        <f>1+(O41/O4)</f>
        <v>3.3201611974089915</v>
      </c>
      <c r="R41">
        <f t="shared" si="0"/>
        <v>0.12048825266690523</v>
      </c>
      <c r="S41">
        <f t="shared" si="6"/>
        <v>2.8294212105225834E-2</v>
      </c>
      <c r="T41">
        <f t="shared" si="2"/>
        <v>1500</v>
      </c>
      <c r="U41" s="66">
        <f t="shared" si="3"/>
        <v>7.2343777038269011E-2</v>
      </c>
    </row>
    <row r="42" spans="1:21">
      <c r="A42" s="163" t="s">
        <v>83</v>
      </c>
      <c r="B42" s="164"/>
      <c r="C42" s="164"/>
      <c r="D42" s="164" t="s">
        <v>84</v>
      </c>
      <c r="E42" s="164"/>
      <c r="F42" s="164"/>
      <c r="G42" s="165"/>
      <c r="H42" s="133">
        <v>0</v>
      </c>
      <c r="I42" s="44">
        <f t="shared" si="4"/>
        <v>1.9014729876241474</v>
      </c>
      <c r="J42" s="44">
        <f t="shared" si="5"/>
        <v>0</v>
      </c>
      <c r="K42" s="21"/>
      <c r="L42" s="21"/>
      <c r="M42" s="51">
        <v>1000</v>
      </c>
      <c r="N42" s="52">
        <v>0.69</v>
      </c>
      <c r="O42" s="53">
        <v>4.9000000000000004</v>
      </c>
      <c r="P42">
        <f>M42/O3</f>
        <v>0.23561944901923454</v>
      </c>
      <c r="Q42">
        <f>1+(O42/O4)</f>
        <v>4.2482256763725879</v>
      </c>
      <c r="R42">
        <f t="shared" si="0"/>
        <v>3.16689516571632</v>
      </c>
      <c r="S42">
        <f t="shared" si="6"/>
        <v>2.8294212105225834E-2</v>
      </c>
      <c r="T42">
        <f t="shared" si="2"/>
        <v>1500</v>
      </c>
      <c r="U42" s="66">
        <f t="shared" si="3"/>
        <v>1.9014729876241474</v>
      </c>
    </row>
    <row r="43" spans="1:21">
      <c r="A43" s="163" t="s">
        <v>85</v>
      </c>
      <c r="B43" s="164"/>
      <c r="C43" s="164"/>
      <c r="D43" s="164" t="s">
        <v>86</v>
      </c>
      <c r="E43" s="164"/>
      <c r="F43" s="164"/>
      <c r="G43" s="165"/>
      <c r="H43" s="133">
        <v>0</v>
      </c>
      <c r="I43" s="44">
        <f t="shared" si="4"/>
        <v>19948.376092910388</v>
      </c>
      <c r="J43" s="44">
        <f t="shared" si="5"/>
        <v>0</v>
      </c>
      <c r="K43" s="21"/>
      <c r="L43" s="21"/>
      <c r="M43" s="51">
        <v>1500</v>
      </c>
      <c r="N43" s="52">
        <v>0.46</v>
      </c>
      <c r="O43" s="53">
        <v>4</v>
      </c>
      <c r="P43">
        <f>M43/O3</f>
        <v>0.35342917352885178</v>
      </c>
      <c r="Q43">
        <f>1+(O43/O4)</f>
        <v>3.6516127970388474</v>
      </c>
      <c r="R43">
        <f t="shared" si="0"/>
        <v>2.0331710601667217</v>
      </c>
      <c r="S43">
        <f>35*Input!H10^-0.5</f>
        <v>3.6168973416505135</v>
      </c>
      <c r="T43">
        <f t="shared" si="2"/>
        <v>1500</v>
      </c>
      <c r="U43" s="66">
        <f t="shared" si="3"/>
        <v>19948.376092910388</v>
      </c>
    </row>
    <row r="44" spans="1:21" ht="13.5" thickBot="1">
      <c r="A44" s="155" t="s">
        <v>87</v>
      </c>
      <c r="B44" s="156"/>
      <c r="C44" s="156"/>
      <c r="D44" s="156" t="s">
        <v>88</v>
      </c>
      <c r="E44" s="156"/>
      <c r="F44" s="156"/>
      <c r="G44" s="157"/>
      <c r="H44" s="137">
        <v>1</v>
      </c>
      <c r="I44" s="44">
        <f t="shared" si="4"/>
        <v>134563.32094793793</v>
      </c>
      <c r="J44" s="44">
        <f t="shared" si="5"/>
        <v>134563.32094793793</v>
      </c>
      <c r="K44" s="21"/>
      <c r="L44" s="21"/>
      <c r="M44" s="54">
        <v>2000</v>
      </c>
      <c r="N44" s="55">
        <v>2.85</v>
      </c>
      <c r="O44" s="56">
        <v>3.8</v>
      </c>
      <c r="P44">
        <f>M44/O3</f>
        <v>0.47123889803846908</v>
      </c>
      <c r="Q44">
        <f>1+(O44/O4)</f>
        <v>3.519032157186905</v>
      </c>
      <c r="R44">
        <f t="shared" si="0"/>
        <v>10.50048054602115</v>
      </c>
      <c r="S44">
        <f>40*Input!H10^-0.5</f>
        <v>4.1335969618863011</v>
      </c>
      <c r="T44">
        <f t="shared" si="2"/>
        <v>1500</v>
      </c>
      <c r="U44" s="67">
        <f t="shared" si="3"/>
        <v>134563.32094793793</v>
      </c>
    </row>
    <row r="45" spans="1:21" ht="13.5" thickBot="1">
      <c r="A45" s="179" t="s">
        <v>97</v>
      </c>
      <c r="B45" s="180"/>
      <c r="C45" s="180"/>
      <c r="D45" s="180"/>
      <c r="E45" s="180"/>
      <c r="F45" s="180"/>
      <c r="G45" s="180"/>
      <c r="H45" s="14">
        <f>J45/100000</f>
        <v>1.3456546995212895</v>
      </c>
      <c r="I45" s="70" t="s">
        <v>96</v>
      </c>
      <c r="J45" s="44">
        <f>SUM(J7:J44)</f>
        <v>134565.46995212894</v>
      </c>
      <c r="K45" s="21"/>
      <c r="L45" s="21"/>
      <c r="M45" s="58"/>
      <c r="N45" s="58"/>
      <c r="O45" s="58"/>
    </row>
    <row r="46" spans="1:2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2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1:1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1:12" ht="13.5" thickBo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</sheetData>
  <sheetProtection password="DB83" sheet="1" objects="1" scenarios="1" selectLockedCells="1"/>
  <mergeCells count="98">
    <mergeCell ref="A45:G45"/>
    <mergeCell ref="A10:B10"/>
    <mergeCell ref="C10:E10"/>
    <mergeCell ref="F10:G10"/>
    <mergeCell ref="A12:B12"/>
    <mergeCell ref="C12:E12"/>
    <mergeCell ref="F12:G12"/>
    <mergeCell ref="A13:B13"/>
    <mergeCell ref="C13:E13"/>
    <mergeCell ref="F13:G13"/>
    <mergeCell ref="A2:L2"/>
    <mergeCell ref="A11:B11"/>
    <mergeCell ref="C11:E11"/>
    <mergeCell ref="F11:G11"/>
    <mergeCell ref="A8:B8"/>
    <mergeCell ref="C8:E8"/>
    <mergeCell ref="F8:G8"/>
    <mergeCell ref="A9:B9"/>
    <mergeCell ref="C9:E9"/>
    <mergeCell ref="F9:G9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5:B25"/>
    <mergeCell ref="C25:E25"/>
    <mergeCell ref="F25:G25"/>
    <mergeCell ref="A24:B24"/>
    <mergeCell ref="C24:E24"/>
    <mergeCell ref="F24:G24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3:G33"/>
    <mergeCell ref="A34:C34"/>
    <mergeCell ref="D34:G34"/>
    <mergeCell ref="A30:B30"/>
    <mergeCell ref="C30:E30"/>
    <mergeCell ref="F30:G30"/>
    <mergeCell ref="A31:B31"/>
    <mergeCell ref="C31:E31"/>
    <mergeCell ref="F31:G31"/>
    <mergeCell ref="A40:C40"/>
    <mergeCell ref="D40:G40"/>
    <mergeCell ref="A35:C35"/>
    <mergeCell ref="D35:G35"/>
    <mergeCell ref="A36:C36"/>
    <mergeCell ref="D36:G36"/>
    <mergeCell ref="A37:C37"/>
    <mergeCell ref="D37:G37"/>
    <mergeCell ref="A44:C44"/>
    <mergeCell ref="D44:G44"/>
    <mergeCell ref="A6:G6"/>
    <mergeCell ref="A7:B7"/>
    <mergeCell ref="C7:E7"/>
    <mergeCell ref="F7:G7"/>
    <mergeCell ref="A41:C41"/>
    <mergeCell ref="D41:G41"/>
    <mergeCell ref="A42:C42"/>
    <mergeCell ref="D42:G42"/>
    <mergeCell ref="A43:C43"/>
    <mergeCell ref="D43:G43"/>
    <mergeCell ref="A38:C38"/>
    <mergeCell ref="D38:G38"/>
    <mergeCell ref="A39:C39"/>
    <mergeCell ref="D39:G39"/>
  </mergeCells>
  <pageMargins left="0.75" right="0.75" top="1" bottom="1" header="0.5" footer="0.5"/>
  <pageSetup orientation="portrait" horizontalDpi="300" verticalDpi="3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8"/>
  <sheetViews>
    <sheetView workbookViewId="0">
      <selection activeCell="B9" sqref="B9:E9"/>
    </sheetView>
  </sheetViews>
  <sheetFormatPr defaultRowHeight="12.75"/>
  <cols>
    <col min="1" max="8" width="9.140625" style="102"/>
    <col min="9" max="9" width="8.5703125" style="102" customWidth="1"/>
    <col min="10" max="10" width="8.42578125" style="102" customWidth="1"/>
    <col min="11" max="11" width="8.7109375" style="102" customWidth="1"/>
    <col min="12" max="16384" width="9.140625" style="102"/>
  </cols>
  <sheetData>
    <row r="1" spans="1:12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customFormat="1" ht="16.5" thickBot="1">
      <c r="A2" s="138" t="s">
        <v>135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40"/>
    </row>
    <row r="4" spans="1:12" ht="13.5" thickBot="1"/>
    <row r="5" spans="1:12">
      <c r="A5" s="104" t="s">
        <v>139</v>
      </c>
      <c r="B5" s="183" t="s">
        <v>141</v>
      </c>
      <c r="C5" s="184"/>
      <c r="D5" s="184"/>
      <c r="E5" s="185"/>
      <c r="F5" s="183" t="s">
        <v>140</v>
      </c>
      <c r="G5" s="185"/>
      <c r="H5" s="90" t="s">
        <v>0</v>
      </c>
      <c r="I5" s="103"/>
    </row>
    <row r="6" spans="1:12">
      <c r="A6" s="89">
        <v>1</v>
      </c>
      <c r="B6" s="182" t="s">
        <v>142</v>
      </c>
      <c r="C6" s="182"/>
      <c r="D6" s="182"/>
      <c r="E6" s="182"/>
      <c r="F6" s="182">
        <v>0.1</v>
      </c>
      <c r="G6" s="182"/>
      <c r="H6" s="71" t="s">
        <v>96</v>
      </c>
    </row>
    <row r="7" spans="1:12">
      <c r="A7" s="89">
        <v>2</v>
      </c>
      <c r="B7" s="182" t="s">
        <v>143</v>
      </c>
      <c r="C7" s="182"/>
      <c r="D7" s="182"/>
      <c r="E7" s="182"/>
      <c r="F7" s="182">
        <v>0.01</v>
      </c>
      <c r="G7" s="182"/>
      <c r="H7" s="71" t="s">
        <v>96</v>
      </c>
    </row>
    <row r="8" spans="1:12">
      <c r="A8" s="89">
        <v>3</v>
      </c>
      <c r="B8" s="182" t="s">
        <v>182</v>
      </c>
      <c r="C8" s="182"/>
      <c r="D8" s="182"/>
      <c r="E8" s="182"/>
      <c r="F8" s="182">
        <v>0</v>
      </c>
      <c r="G8" s="182"/>
      <c r="H8" s="71" t="s">
        <v>96</v>
      </c>
    </row>
    <row r="9" spans="1:12">
      <c r="A9" s="89">
        <v>4</v>
      </c>
      <c r="B9" s="182">
        <v>12</v>
      </c>
      <c r="C9" s="182"/>
      <c r="D9" s="182"/>
      <c r="E9" s="182"/>
      <c r="F9" s="182">
        <v>0</v>
      </c>
      <c r="G9" s="182"/>
      <c r="H9" s="71" t="s">
        <v>96</v>
      </c>
    </row>
    <row r="10" spans="1:12">
      <c r="A10" s="89">
        <v>5</v>
      </c>
      <c r="B10" s="182">
        <v>13</v>
      </c>
      <c r="C10" s="182"/>
      <c r="D10" s="182"/>
      <c r="E10" s="182"/>
      <c r="F10" s="182">
        <v>0</v>
      </c>
      <c r="G10" s="182"/>
      <c r="H10" s="71" t="s">
        <v>96</v>
      </c>
    </row>
    <row r="11" spans="1:12">
      <c r="A11" s="89">
        <v>6</v>
      </c>
      <c r="B11" s="182">
        <v>14</v>
      </c>
      <c r="C11" s="182"/>
      <c r="D11" s="182"/>
      <c r="E11" s="182"/>
      <c r="F11" s="182">
        <v>0</v>
      </c>
      <c r="G11" s="182"/>
      <c r="H11" s="71" t="s">
        <v>96</v>
      </c>
    </row>
    <row r="12" spans="1:12">
      <c r="A12" s="89">
        <v>7</v>
      </c>
      <c r="B12" s="182">
        <v>15</v>
      </c>
      <c r="C12" s="182"/>
      <c r="D12" s="182"/>
      <c r="E12" s="182"/>
      <c r="F12" s="182">
        <v>0</v>
      </c>
      <c r="G12" s="182"/>
      <c r="H12" s="71" t="s">
        <v>96</v>
      </c>
      <c r="I12" s="22"/>
    </row>
    <row r="13" spans="1:12">
      <c r="A13" s="23"/>
      <c r="B13" s="24"/>
      <c r="C13" s="24"/>
      <c r="D13" s="24"/>
      <c r="E13" s="24"/>
      <c r="F13" s="181">
        <f>SUM(F6:F12)</f>
        <v>0.11</v>
      </c>
      <c r="G13" s="181"/>
      <c r="H13" s="22"/>
      <c r="I13" s="22"/>
    </row>
    <row r="14" spans="1:12">
      <c r="A14" s="23"/>
      <c r="B14" s="24"/>
      <c r="C14" s="24"/>
      <c r="D14" s="24"/>
      <c r="E14" s="24"/>
      <c r="F14" s="69"/>
      <c r="G14" s="23"/>
    </row>
    <row r="15" spans="1:12">
      <c r="A15" s="23"/>
      <c r="B15" s="24"/>
      <c r="C15" s="24"/>
      <c r="D15" s="24"/>
      <c r="E15" s="24"/>
      <c r="F15" s="69"/>
      <c r="G15" s="23"/>
    </row>
    <row r="16" spans="1:12">
      <c r="A16" s="23"/>
      <c r="B16" s="24"/>
      <c r="C16" s="24"/>
      <c r="D16" s="24"/>
      <c r="E16" s="24"/>
      <c r="F16" s="69"/>
      <c r="G16" s="23"/>
    </row>
    <row r="17" spans="1:7">
      <c r="A17" s="23"/>
      <c r="B17" s="24"/>
      <c r="C17" s="24"/>
      <c r="D17" s="24"/>
      <c r="E17" s="24"/>
      <c r="F17" s="69"/>
      <c r="G17" s="23"/>
    </row>
    <row r="18" spans="1:7">
      <c r="A18" s="23"/>
      <c r="B18" s="24"/>
      <c r="C18" s="24"/>
      <c r="D18" s="24"/>
      <c r="E18" s="24"/>
      <c r="F18" s="69"/>
      <c r="G18" s="23"/>
    </row>
  </sheetData>
  <sheetProtection sheet="1" objects="1" scenarios="1" selectLockedCells="1"/>
  <mergeCells count="18">
    <mergeCell ref="A2:L2"/>
    <mergeCell ref="B5:E5"/>
    <mergeCell ref="F5:G5"/>
    <mergeCell ref="F12:G12"/>
    <mergeCell ref="B6:E6"/>
    <mergeCell ref="B7:E7"/>
    <mergeCell ref="B8:E8"/>
    <mergeCell ref="B9:E9"/>
    <mergeCell ref="B10:E10"/>
    <mergeCell ref="B11:E11"/>
    <mergeCell ref="F13:G13"/>
    <mergeCell ref="B12:E12"/>
    <mergeCell ref="F9:G9"/>
    <mergeCell ref="F6:G6"/>
    <mergeCell ref="F7:G7"/>
    <mergeCell ref="F10:G10"/>
    <mergeCell ref="F11:G11"/>
    <mergeCell ref="F8:G8"/>
  </mergeCells>
  <dataValidations xWindow="611" yWindow="314" count="1">
    <dataValidation allowBlank="1" showInputMessage="1" showErrorMessage="1" prompt="Input any inline equipment that you may have and respective pressure drops" sqref="B6:E6"/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L51"/>
  <sheetViews>
    <sheetView topLeftCell="A16" workbookViewId="0">
      <selection activeCell="F13" sqref="F13"/>
    </sheetView>
  </sheetViews>
  <sheetFormatPr defaultRowHeight="12.75"/>
  <cols>
    <col min="3" max="3" width="8.85546875" customWidth="1"/>
    <col min="4" max="4" width="8.42578125" customWidth="1"/>
    <col min="5" max="5" width="8.28515625" customWidth="1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>
      <c r="A2" s="138" t="s">
        <v>135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40"/>
    </row>
    <row r="3" spans="1:12">
      <c r="A3" s="4"/>
      <c r="B3" s="5"/>
      <c r="C3" s="5"/>
      <c r="D3" s="5"/>
      <c r="E3" s="5"/>
      <c r="F3" s="5"/>
      <c r="G3" s="5"/>
      <c r="H3" s="22" t="s">
        <v>4</v>
      </c>
      <c r="I3" s="22" t="s">
        <v>9</v>
      </c>
      <c r="J3" s="5"/>
      <c r="K3" s="5"/>
      <c r="L3" s="6"/>
    </row>
    <row r="4" spans="1:12" ht="13.5" thickBot="1">
      <c r="A4" s="21"/>
      <c r="B4" s="21"/>
      <c r="C4" s="21"/>
      <c r="D4" s="21"/>
      <c r="E4" s="21"/>
      <c r="F4" s="21"/>
      <c r="G4" s="21"/>
      <c r="H4" s="22">
        <f>Input!H11</f>
        <v>1E-3</v>
      </c>
      <c r="I4" s="22">
        <f>Input!F12</f>
        <v>1</v>
      </c>
      <c r="J4" s="5"/>
      <c r="K4" s="5"/>
      <c r="L4" s="6"/>
    </row>
    <row r="5" spans="1:12" ht="13.5" thickBot="1">
      <c r="A5" s="90" t="s">
        <v>3</v>
      </c>
      <c r="B5" s="192" t="s">
        <v>23</v>
      </c>
      <c r="C5" s="141"/>
      <c r="D5" s="141"/>
      <c r="E5" s="193"/>
      <c r="F5" s="90" t="s">
        <v>1</v>
      </c>
      <c r="G5" s="91" t="s">
        <v>0</v>
      </c>
      <c r="H5" s="5"/>
      <c r="I5" s="5"/>
      <c r="J5" s="5"/>
      <c r="K5" s="5"/>
      <c r="L5" s="6"/>
    </row>
    <row r="6" spans="1:12">
      <c r="A6" s="18" t="s">
        <v>24</v>
      </c>
      <c r="B6" s="148" t="s">
        <v>21</v>
      </c>
      <c r="C6" s="149"/>
      <c r="D6" s="149"/>
      <c r="E6" s="150"/>
      <c r="F6" s="15">
        <f>Input!H7/Input!F10</f>
        <v>2.2222222222222221E-4</v>
      </c>
      <c r="G6" s="11" t="s">
        <v>22</v>
      </c>
      <c r="H6" s="5"/>
      <c r="I6" s="5"/>
      <c r="J6" s="5"/>
      <c r="K6" s="5"/>
      <c r="L6" s="6"/>
    </row>
    <row r="7" spans="1:12">
      <c r="A7" s="19" t="s">
        <v>33</v>
      </c>
      <c r="B7" s="144" t="s">
        <v>35</v>
      </c>
      <c r="C7" s="145"/>
      <c r="D7" s="145"/>
      <c r="E7" s="146"/>
      <c r="F7" s="16">
        <f>F6*4/(PI()*Input!H13^2)</f>
        <v>2.8294212105225834E-2</v>
      </c>
      <c r="G7" s="12" t="s">
        <v>34</v>
      </c>
      <c r="H7" s="21"/>
      <c r="I7" s="21"/>
      <c r="J7" s="21"/>
      <c r="K7" s="21"/>
      <c r="L7" s="6"/>
    </row>
    <row r="8" spans="1:12">
      <c r="A8" s="19" t="s">
        <v>26</v>
      </c>
      <c r="B8" s="144" t="s">
        <v>25</v>
      </c>
      <c r="C8" s="145"/>
      <c r="D8" s="145"/>
      <c r="E8" s="146"/>
      <c r="F8" s="16">
        <f>H8/I8</f>
        <v>4244.131815783875</v>
      </c>
      <c r="G8" s="12" t="s">
        <v>11</v>
      </c>
      <c r="H8" s="5">
        <f>(2^(7-(3*I4)))*Input!F10*(F6^(2-I4))</f>
        <v>5.333333333333333</v>
      </c>
      <c r="I8" s="5">
        <f>J8*K8</f>
        <v>1.2566370614359175E-3</v>
      </c>
      <c r="J8" s="5">
        <f>H4*(PI()^(2-I4))*(Input!H13^(4-(3*I4)))</f>
        <v>3.1415926535897936E-4</v>
      </c>
      <c r="K8" s="5">
        <f>(((3*I4)+1)/I4)^I4</f>
        <v>4</v>
      </c>
      <c r="L8" s="6"/>
    </row>
    <row r="9" spans="1:12" ht="13.5" thickBot="1">
      <c r="A9" s="20"/>
      <c r="B9" s="151" t="s">
        <v>121</v>
      </c>
      <c r="C9" s="152"/>
      <c r="D9" s="152"/>
      <c r="E9" s="153"/>
      <c r="F9" s="17">
        <f>2100+(875*(1-I4))</f>
        <v>2100</v>
      </c>
      <c r="G9" s="13" t="s">
        <v>11</v>
      </c>
      <c r="H9" s="5"/>
      <c r="I9" s="5"/>
      <c r="J9" s="5"/>
      <c r="K9" s="5"/>
      <c r="L9" s="6"/>
    </row>
    <row r="10" spans="1:12">
      <c r="A10" s="187" t="s">
        <v>39</v>
      </c>
      <c r="B10" s="187"/>
      <c r="C10" s="23">
        <f>F8</f>
        <v>4244.131815783875</v>
      </c>
      <c r="D10" s="26" t="s">
        <v>36</v>
      </c>
      <c r="E10" s="24"/>
      <c r="F10" s="186" t="str">
        <f>IF(F8&lt;F9,"LAMINAR",IF(F8&gt;F9,"TURBULENT","TRANSITION"))</f>
        <v>TURBULENT</v>
      </c>
      <c r="G10" s="186"/>
      <c r="H10" s="21"/>
      <c r="I10" s="21"/>
      <c r="J10" s="21"/>
      <c r="K10" s="21"/>
      <c r="L10" s="6"/>
    </row>
    <row r="11" spans="1:12">
      <c r="A11" s="24" t="s">
        <v>37</v>
      </c>
      <c r="B11" s="28" t="str">
        <f>F10</f>
        <v>TURBULENT</v>
      </c>
      <c r="C11" s="26" t="s">
        <v>38</v>
      </c>
      <c r="D11" s="26"/>
      <c r="E11" s="24"/>
      <c r="F11" s="27"/>
      <c r="G11" s="27"/>
      <c r="H11" s="21"/>
      <c r="I11" s="21"/>
      <c r="J11" s="21"/>
      <c r="K11" s="21"/>
      <c r="L11" s="6"/>
    </row>
    <row r="12" spans="1:12" ht="13.5" thickBo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6"/>
    </row>
    <row r="13" spans="1:12" ht="13.5" thickBot="1">
      <c r="A13" s="128" t="s">
        <v>28</v>
      </c>
      <c r="B13" s="198" t="s">
        <v>27</v>
      </c>
      <c r="C13" s="199"/>
      <c r="D13" s="199"/>
      <c r="E13" s="200"/>
      <c r="F13" s="129">
        <f>IF(F8="LAMINAR",C41,IF(F8="TURBULENT",K41,G41))</f>
        <v>1.6799281421322518E-2</v>
      </c>
      <c r="G13" s="128" t="s">
        <v>11</v>
      </c>
      <c r="H13" s="5"/>
      <c r="I13" s="5"/>
      <c r="J13" s="5"/>
      <c r="K13" s="5"/>
      <c r="L13" s="6"/>
    </row>
    <row r="14" spans="1:12">
      <c r="A14" s="18" t="s">
        <v>100</v>
      </c>
      <c r="B14" s="148" t="s">
        <v>148</v>
      </c>
      <c r="C14" s="149"/>
      <c r="D14" s="149"/>
      <c r="E14" s="150"/>
      <c r="F14" s="15">
        <f>4*F13*(Input!F17/Input!H13)*(Input!F10*(F7^2))/2</f>
        <v>41.55701974015065</v>
      </c>
      <c r="G14" s="18" t="s">
        <v>30</v>
      </c>
      <c r="H14" s="5"/>
      <c r="I14" s="5"/>
      <c r="J14" s="5"/>
      <c r="K14" s="5"/>
      <c r="L14" s="6"/>
    </row>
    <row r="15" spans="1:12">
      <c r="A15" s="19"/>
      <c r="B15" s="144"/>
      <c r="C15" s="145"/>
      <c r="D15" s="145"/>
      <c r="E15" s="146"/>
      <c r="F15" s="16">
        <f>F14/100000</f>
        <v>4.1557019740150653E-4</v>
      </c>
      <c r="G15" s="19" t="s">
        <v>96</v>
      </c>
      <c r="H15" s="25"/>
      <c r="I15" s="25"/>
      <c r="J15" s="25"/>
      <c r="K15" s="5"/>
      <c r="L15" s="6"/>
    </row>
    <row r="16" spans="1:12">
      <c r="A16" s="19" t="s">
        <v>101</v>
      </c>
      <c r="B16" s="144" t="s">
        <v>145</v>
      </c>
      <c r="C16" s="145"/>
      <c r="D16" s="145"/>
      <c r="E16" s="146"/>
      <c r="F16" s="16">
        <f>'Pipe Fittings'!J45</f>
        <v>134565.46995212894</v>
      </c>
      <c r="G16" s="19" t="s">
        <v>30</v>
      </c>
      <c r="H16" s="25">
        <f>'Pipe Fittings'!H45</f>
        <v>1.3456546995212895</v>
      </c>
      <c r="I16" s="23" t="s">
        <v>96</v>
      </c>
      <c r="J16" s="5"/>
      <c r="K16" s="5"/>
      <c r="L16" s="6"/>
    </row>
    <row r="17" spans="1:12">
      <c r="A17" s="19"/>
      <c r="B17" s="144" t="s">
        <v>146</v>
      </c>
      <c r="C17" s="145"/>
      <c r="D17" s="145"/>
      <c r="E17" s="146"/>
      <c r="F17" s="105">
        <f>'Inline Accessories'!F13</f>
        <v>0.11</v>
      </c>
      <c r="G17" s="127" t="s">
        <v>147</v>
      </c>
      <c r="H17" s="5"/>
      <c r="I17" s="5"/>
      <c r="J17" s="5"/>
      <c r="K17" s="5"/>
      <c r="L17" s="6"/>
    </row>
    <row r="18" spans="1:12" ht="13.5" thickBot="1">
      <c r="A18" s="20" t="s">
        <v>29</v>
      </c>
      <c r="B18" s="151" t="s">
        <v>98</v>
      </c>
      <c r="C18" s="152"/>
      <c r="D18" s="152"/>
      <c r="E18" s="153"/>
      <c r="F18" s="17">
        <f>((H18*100000)/(Input!F10*9.81))+Input!K17</f>
        <v>12.395142845522875</v>
      </c>
      <c r="G18" s="20" t="s">
        <v>99</v>
      </c>
      <c r="H18" s="25">
        <f>H16+F15+F17</f>
        <v>1.4560702697186911</v>
      </c>
      <c r="I18" s="23" t="s">
        <v>96</v>
      </c>
      <c r="J18" s="5"/>
      <c r="K18" s="5"/>
      <c r="L18" s="6"/>
    </row>
    <row r="19" spans="1:12">
      <c r="A19" s="23"/>
      <c r="B19" s="187"/>
      <c r="C19" s="187"/>
      <c r="D19" s="187"/>
      <c r="E19" s="187"/>
      <c r="F19" s="5"/>
      <c r="G19" s="5"/>
      <c r="H19" s="5"/>
      <c r="I19" s="5"/>
      <c r="J19" s="5"/>
      <c r="K19" s="5"/>
      <c r="L19" s="6"/>
    </row>
    <row r="20" spans="1:1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>
      <c r="A38" s="4"/>
      <c r="B38" s="5"/>
      <c r="C38" s="5"/>
      <c r="D38" s="5"/>
      <c r="E38" s="34" t="s">
        <v>43</v>
      </c>
      <c r="F38" s="5">
        <f>F8</f>
        <v>4244.131815783875</v>
      </c>
      <c r="G38" s="5"/>
      <c r="H38" s="5"/>
      <c r="I38" s="5"/>
      <c r="J38" s="5"/>
      <c r="K38" s="5"/>
      <c r="L38" s="6"/>
    </row>
    <row r="39" spans="1:1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1:12" ht="13.5" thickBot="1">
      <c r="A40" s="32" t="s">
        <v>40</v>
      </c>
      <c r="B40" s="31"/>
      <c r="C40" s="31"/>
      <c r="D40" s="30"/>
      <c r="E40" s="31" t="s">
        <v>42</v>
      </c>
      <c r="F40" s="31"/>
      <c r="G40" s="31"/>
      <c r="H40" s="30"/>
      <c r="I40" s="31" t="s">
        <v>41</v>
      </c>
      <c r="J40" s="31"/>
      <c r="K40" s="31"/>
      <c r="L40" s="33"/>
    </row>
    <row r="41" spans="1:12">
      <c r="A41" s="190" t="s">
        <v>44</v>
      </c>
      <c r="B41" s="191"/>
      <c r="C41" s="34">
        <f>16/F38</f>
        <v>3.7699111843077526E-3</v>
      </c>
      <c r="D41" s="42" t="s">
        <v>11</v>
      </c>
      <c r="E41" s="191" t="s">
        <v>44</v>
      </c>
      <c r="F41" s="191"/>
      <c r="G41" s="40">
        <f>E42*E43*E44</f>
        <v>1.6799281421322518E-2</v>
      </c>
      <c r="H41" s="42" t="s">
        <v>11</v>
      </c>
      <c r="I41" s="191" t="s">
        <v>44</v>
      </c>
      <c r="J41" s="191"/>
      <c r="K41" s="34">
        <f>I42/I43</f>
        <v>9.5982209832963482E-3</v>
      </c>
      <c r="L41" s="38" t="s">
        <v>11</v>
      </c>
    </row>
    <row r="42" spans="1:12">
      <c r="A42" s="188"/>
      <c r="B42" s="189"/>
      <c r="C42" s="29"/>
      <c r="D42" s="36"/>
      <c r="E42" s="40">
        <v>1.7899999999999999E-4</v>
      </c>
      <c r="F42" s="29"/>
      <c r="G42" s="29"/>
      <c r="H42" s="36"/>
      <c r="I42" s="43">
        <f>0.0682*(I4^(-0.5))</f>
        <v>6.8199999999999997E-2</v>
      </c>
      <c r="J42" s="29"/>
      <c r="K42" s="29"/>
      <c r="L42" s="38"/>
    </row>
    <row r="43" spans="1:12">
      <c r="A43" s="188"/>
      <c r="B43" s="189"/>
      <c r="C43" s="29"/>
      <c r="D43" s="36"/>
      <c r="E43" s="34">
        <f>F38^F43</f>
        <v>17706.827631857665</v>
      </c>
      <c r="F43" s="29">
        <f>0.414+(0.757*I4)</f>
        <v>1.171</v>
      </c>
      <c r="G43" s="29"/>
      <c r="H43" s="36"/>
      <c r="I43" s="43">
        <f>F38^J43</f>
        <v>7.1054834139250929</v>
      </c>
      <c r="J43" s="29">
        <f>1/K43</f>
        <v>0.23474178403755869</v>
      </c>
      <c r="K43" s="29">
        <f>1.87+(2.39*I4)</f>
        <v>4.26</v>
      </c>
      <c r="L43" s="38"/>
    </row>
    <row r="44" spans="1:12">
      <c r="A44" s="188"/>
      <c r="B44" s="189"/>
      <c r="C44" s="29"/>
      <c r="D44" s="36"/>
      <c r="E44" s="34">
        <f>EXP(F44)</f>
        <v>5.3002568358704021E-3</v>
      </c>
      <c r="F44" s="29">
        <f>(-5.24*I4)</f>
        <v>-5.24</v>
      </c>
      <c r="G44" s="29"/>
      <c r="H44" s="36"/>
      <c r="I44" s="41"/>
      <c r="J44" s="29"/>
      <c r="K44" s="29"/>
      <c r="L44" s="38"/>
    </row>
    <row r="45" spans="1:12">
      <c r="A45" s="188"/>
      <c r="B45" s="189"/>
      <c r="C45" s="29"/>
      <c r="D45" s="36"/>
      <c r="E45" s="29"/>
      <c r="F45" s="29"/>
      <c r="G45" s="29"/>
      <c r="H45" s="36"/>
      <c r="I45" s="41"/>
      <c r="J45" s="29"/>
      <c r="K45" s="29"/>
      <c r="L45" s="38"/>
    </row>
    <row r="46" spans="1:12">
      <c r="A46" s="188"/>
      <c r="B46" s="189"/>
      <c r="C46" s="29"/>
      <c r="D46" s="36"/>
      <c r="E46" s="29"/>
      <c r="F46" s="29"/>
      <c r="G46" s="29"/>
      <c r="H46" s="36"/>
      <c r="I46" s="41"/>
      <c r="J46" s="29"/>
      <c r="K46" s="29"/>
      <c r="L46" s="38"/>
    </row>
    <row r="47" spans="1:12">
      <c r="A47" s="188"/>
      <c r="B47" s="189"/>
      <c r="C47" s="29"/>
      <c r="D47" s="36"/>
      <c r="E47" s="29"/>
      <c r="F47" s="29"/>
      <c r="G47" s="29"/>
      <c r="H47" s="36"/>
      <c r="I47" s="41"/>
      <c r="J47" s="29"/>
      <c r="K47" s="29"/>
      <c r="L47" s="38"/>
    </row>
    <row r="48" spans="1:12">
      <c r="A48" s="188"/>
      <c r="B48" s="189"/>
      <c r="C48" s="29"/>
      <c r="D48" s="36"/>
      <c r="E48" s="29"/>
      <c r="F48" s="29"/>
      <c r="G48" s="29"/>
      <c r="H48" s="36"/>
      <c r="I48" s="41"/>
      <c r="J48" s="29"/>
      <c r="K48" s="29"/>
      <c r="L48" s="38"/>
    </row>
    <row r="49" spans="1:12">
      <c r="A49" s="188"/>
      <c r="B49" s="189"/>
      <c r="C49" s="29"/>
      <c r="D49" s="36"/>
      <c r="E49" s="29"/>
      <c r="F49" s="29"/>
      <c r="G49" s="29"/>
      <c r="H49" s="36"/>
      <c r="I49" s="41"/>
      <c r="J49" s="29"/>
      <c r="K49" s="29"/>
      <c r="L49" s="38"/>
    </row>
    <row r="50" spans="1:12">
      <c r="A50" s="188"/>
      <c r="B50" s="189"/>
      <c r="C50" s="29"/>
      <c r="D50" s="36"/>
      <c r="E50" s="29"/>
      <c r="F50" s="29"/>
      <c r="G50" s="29"/>
      <c r="H50" s="36"/>
      <c r="I50" s="41"/>
      <c r="J50" s="29"/>
      <c r="K50" s="29"/>
      <c r="L50" s="38"/>
    </row>
    <row r="51" spans="1:12" ht="13.5" thickBot="1">
      <c r="A51" s="196"/>
      <c r="B51" s="197"/>
      <c r="C51" s="35"/>
      <c r="D51" s="37"/>
      <c r="E51" s="194"/>
      <c r="F51" s="195"/>
      <c r="G51" s="35"/>
      <c r="H51" s="37"/>
      <c r="I51" s="194"/>
      <c r="J51" s="195"/>
      <c r="K51" s="35"/>
      <c r="L51" s="39"/>
    </row>
  </sheetData>
  <sheetProtection password="DB83" sheet="1" objects="1" scenarios="1" selectLockedCells="1"/>
  <mergeCells count="30">
    <mergeCell ref="A2:L2"/>
    <mergeCell ref="B19:E19"/>
    <mergeCell ref="B15:E15"/>
    <mergeCell ref="B16:E16"/>
    <mergeCell ref="B17:E17"/>
    <mergeCell ref="B18:E18"/>
    <mergeCell ref="B13:E13"/>
    <mergeCell ref="B14:E14"/>
    <mergeCell ref="B6:E6"/>
    <mergeCell ref="B8:E8"/>
    <mergeCell ref="B5:E5"/>
    <mergeCell ref="I51:J51"/>
    <mergeCell ref="E41:F41"/>
    <mergeCell ref="I41:J41"/>
    <mergeCell ref="E51:F51"/>
    <mergeCell ref="A49:B49"/>
    <mergeCell ref="A50:B50"/>
    <mergeCell ref="A51:B51"/>
    <mergeCell ref="A45:B45"/>
    <mergeCell ref="A46:B46"/>
    <mergeCell ref="A47:B47"/>
    <mergeCell ref="F10:G10"/>
    <mergeCell ref="A10:B10"/>
    <mergeCell ref="B7:E7"/>
    <mergeCell ref="B9:E9"/>
    <mergeCell ref="A48:B48"/>
    <mergeCell ref="A41:B41"/>
    <mergeCell ref="A42:B42"/>
    <mergeCell ref="A43:B43"/>
    <mergeCell ref="A44:B44"/>
  </mergeCells>
  <pageMargins left="0.75" right="0.75" top="1" bottom="1" header="0.5" footer="0.5"/>
  <pageSetup orientation="portrait" horizontalDpi="300" verticalDpi="30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K68"/>
  <sheetViews>
    <sheetView topLeftCell="A31" workbookViewId="0">
      <selection activeCell="D53" sqref="D53"/>
    </sheetView>
  </sheetViews>
  <sheetFormatPr defaultRowHeight="12.75"/>
  <cols>
    <col min="1" max="16384" width="9.140625" style="72"/>
  </cols>
  <sheetData>
    <row r="1" spans="1:11" ht="14.25" thickTop="1" thickBot="1">
      <c r="A1" s="202" t="s">
        <v>152</v>
      </c>
      <c r="B1" s="203"/>
      <c r="C1" s="203"/>
      <c r="D1" s="203"/>
      <c r="E1" s="203"/>
      <c r="F1" s="203"/>
      <c r="G1" s="203"/>
      <c r="H1" s="203"/>
      <c r="I1" s="204"/>
    </row>
    <row r="2" spans="1:11" ht="13.5" thickTop="1">
      <c r="A2" s="73"/>
      <c r="B2" s="74"/>
      <c r="C2" s="74"/>
      <c r="D2" s="74"/>
      <c r="E2" s="74"/>
      <c r="F2" s="74"/>
      <c r="G2" s="74"/>
      <c r="H2" s="74"/>
      <c r="I2" s="75"/>
    </row>
    <row r="3" spans="1:11">
      <c r="A3" s="76" t="s">
        <v>103</v>
      </c>
      <c r="B3" s="74"/>
      <c r="C3" s="74"/>
      <c r="D3" s="74"/>
      <c r="E3" s="74"/>
      <c r="F3" s="74"/>
      <c r="G3" s="74"/>
      <c r="H3" s="74"/>
      <c r="I3" s="75"/>
    </row>
    <row r="4" spans="1:11">
      <c r="A4" s="77"/>
      <c r="B4" s="74"/>
      <c r="C4" s="74"/>
      <c r="D4" s="74"/>
      <c r="E4" s="74"/>
      <c r="F4" s="74"/>
      <c r="G4" s="74"/>
      <c r="H4" s="74"/>
      <c r="I4" s="75"/>
    </row>
    <row r="5" spans="1:11">
      <c r="A5" s="77"/>
      <c r="B5" s="82" t="s">
        <v>104</v>
      </c>
      <c r="C5" s="82"/>
      <c r="D5" s="97" t="str">
        <f>Input!F6</f>
        <v>scmc</v>
      </c>
      <c r="E5" s="74" t="s">
        <v>11</v>
      </c>
      <c r="F5" s="78"/>
      <c r="G5" s="74"/>
      <c r="H5" s="74"/>
      <c r="I5" s="75"/>
    </row>
    <row r="6" spans="1:11">
      <c r="A6" s="77"/>
      <c r="B6" s="74" t="s">
        <v>105</v>
      </c>
      <c r="C6" s="74"/>
      <c r="D6" s="81">
        <f>Input!F8</f>
        <v>30</v>
      </c>
      <c r="E6" s="74" t="s">
        <v>106</v>
      </c>
      <c r="F6" s="78"/>
      <c r="G6" s="74"/>
      <c r="H6" s="74"/>
      <c r="I6" s="75"/>
    </row>
    <row r="7" spans="1:11">
      <c r="A7" s="77"/>
      <c r="B7" s="74" t="s">
        <v>107</v>
      </c>
      <c r="C7" s="74"/>
      <c r="D7" s="81">
        <f>Input!F9</f>
        <v>4</v>
      </c>
      <c r="E7" s="74" t="s">
        <v>108</v>
      </c>
      <c r="F7" s="78"/>
      <c r="G7" s="74"/>
      <c r="H7" s="74"/>
      <c r="I7" s="75"/>
    </row>
    <row r="8" spans="1:11">
      <c r="A8" s="77"/>
      <c r="B8" s="74" t="s">
        <v>109</v>
      </c>
      <c r="C8" s="74"/>
      <c r="D8" s="81">
        <f>Input!F7</f>
        <v>1200</v>
      </c>
      <c r="E8" s="74" t="s">
        <v>110</v>
      </c>
      <c r="F8" s="78"/>
      <c r="G8" s="74"/>
      <c r="H8" s="74"/>
      <c r="I8" s="75"/>
    </row>
    <row r="9" spans="1:11">
      <c r="A9" s="77"/>
      <c r="B9" s="74" t="s">
        <v>111</v>
      </c>
      <c r="C9" s="74"/>
      <c r="D9" s="81">
        <f>Input!F10</f>
        <v>1500</v>
      </c>
      <c r="E9" s="74" t="s">
        <v>112</v>
      </c>
      <c r="F9" s="78"/>
      <c r="G9" s="74"/>
      <c r="H9" s="74"/>
      <c r="I9" s="75"/>
    </row>
    <row r="10" spans="1:11">
      <c r="A10" s="77"/>
      <c r="B10" s="74" t="s">
        <v>113</v>
      </c>
      <c r="C10" s="74"/>
      <c r="D10" s="81">
        <f>Input!F11</f>
        <v>1</v>
      </c>
      <c r="E10" s="74" t="s">
        <v>114</v>
      </c>
      <c r="F10" s="78"/>
      <c r="G10" s="74"/>
      <c r="H10" s="74"/>
      <c r="I10" s="75"/>
    </row>
    <row r="11" spans="1:11">
      <c r="A11" s="77"/>
      <c r="B11" s="74" t="s">
        <v>115</v>
      </c>
      <c r="C11" s="74"/>
      <c r="D11" s="81">
        <f>Input!F13</f>
        <v>100</v>
      </c>
      <c r="E11" s="74" t="s">
        <v>32</v>
      </c>
      <c r="F11" s="78"/>
      <c r="G11" s="74"/>
      <c r="H11" s="74"/>
      <c r="I11" s="75"/>
    </row>
    <row r="12" spans="1:11">
      <c r="A12" s="77"/>
      <c r="B12" s="74" t="s">
        <v>116</v>
      </c>
      <c r="C12" s="78"/>
      <c r="D12" s="81">
        <f>Input!F17</f>
        <v>103</v>
      </c>
      <c r="E12" s="98" t="s">
        <v>32</v>
      </c>
      <c r="F12" s="78"/>
      <c r="G12" s="78"/>
      <c r="H12" s="78"/>
      <c r="I12" s="79"/>
    </row>
    <row r="13" spans="1:11">
      <c r="A13" s="77"/>
      <c r="B13" s="78"/>
      <c r="C13" s="78"/>
      <c r="D13" s="78"/>
      <c r="E13" s="78"/>
      <c r="F13" s="78"/>
      <c r="G13" s="78"/>
      <c r="H13" s="78"/>
      <c r="I13" s="79"/>
    </row>
    <row r="14" spans="1:11">
      <c r="A14" s="205" t="s">
        <v>134</v>
      </c>
      <c r="B14" s="206"/>
      <c r="C14" s="74"/>
      <c r="D14" s="74"/>
      <c r="E14" s="74"/>
      <c r="F14" s="74"/>
      <c r="G14" s="74"/>
      <c r="H14" s="74"/>
      <c r="I14" s="75"/>
    </row>
    <row r="15" spans="1:11">
      <c r="A15" s="76" t="s">
        <v>131</v>
      </c>
      <c r="B15" s="74"/>
      <c r="C15" s="74"/>
      <c r="D15" s="74"/>
      <c r="E15" s="74"/>
      <c r="F15" s="82" t="s">
        <v>72</v>
      </c>
      <c r="G15" s="74"/>
      <c r="H15" s="74"/>
      <c r="I15" s="75"/>
      <c r="K15" s="93"/>
    </row>
    <row r="16" spans="1:11">
      <c r="A16" s="110" t="s">
        <v>153</v>
      </c>
      <c r="B16" s="95"/>
      <c r="C16" s="95"/>
      <c r="D16" s="81">
        <f>'Pipe Fittings'!H7</f>
        <v>1</v>
      </c>
      <c r="E16" s="74"/>
      <c r="F16" s="201" t="s">
        <v>73</v>
      </c>
      <c r="G16" s="201"/>
      <c r="H16" s="201"/>
      <c r="I16" s="79"/>
      <c r="K16" s="93"/>
    </row>
    <row r="17" spans="1:11">
      <c r="A17" s="110" t="s">
        <v>154</v>
      </c>
      <c r="B17" s="95"/>
      <c r="C17" s="95"/>
      <c r="D17" s="81">
        <f>'Pipe Fittings'!H8</f>
        <v>0</v>
      </c>
      <c r="E17" s="74"/>
      <c r="F17" s="201" t="s">
        <v>168</v>
      </c>
      <c r="G17" s="201"/>
      <c r="H17" s="201"/>
      <c r="I17" s="100">
        <f>'Pipe Fittings'!H25</f>
        <v>1</v>
      </c>
      <c r="K17" s="94"/>
    </row>
    <row r="18" spans="1:11">
      <c r="A18" s="110" t="s">
        <v>155</v>
      </c>
      <c r="B18" s="95"/>
      <c r="C18" s="95"/>
      <c r="D18" s="81">
        <f>'Pipe Fittings'!H9</f>
        <v>0</v>
      </c>
      <c r="E18" s="74"/>
      <c r="F18" s="201" t="s">
        <v>169</v>
      </c>
      <c r="G18" s="201"/>
      <c r="H18" s="201"/>
      <c r="I18" s="100">
        <f>'Pipe Fittings'!H26</f>
        <v>0</v>
      </c>
      <c r="K18" s="93"/>
    </row>
    <row r="19" spans="1:11">
      <c r="A19" s="110" t="s">
        <v>156</v>
      </c>
      <c r="B19" s="95"/>
      <c r="C19" s="95"/>
      <c r="D19" s="81">
        <f>'Pipe Fittings'!H10</f>
        <v>0</v>
      </c>
      <c r="E19" s="80"/>
      <c r="F19" s="201" t="s">
        <v>166</v>
      </c>
      <c r="G19" s="201"/>
      <c r="H19" s="201"/>
      <c r="I19" s="100">
        <f>'Pipe Fittings'!H27</f>
        <v>0</v>
      </c>
      <c r="K19" s="93"/>
    </row>
    <row r="20" spans="1:11">
      <c r="A20" s="110" t="s">
        <v>157</v>
      </c>
      <c r="B20" s="95"/>
      <c r="C20" s="95"/>
      <c r="D20" s="81">
        <f>'Pipe Fittings'!H11</f>
        <v>0</v>
      </c>
      <c r="E20" s="80"/>
      <c r="F20" s="201" t="s">
        <v>75</v>
      </c>
      <c r="G20" s="201"/>
      <c r="H20" s="201"/>
      <c r="I20" s="100">
        <f>'Pipe Fittings'!H28</f>
        <v>0</v>
      </c>
      <c r="K20" s="93"/>
    </row>
    <row r="21" spans="1:11">
      <c r="A21" s="110" t="s">
        <v>158</v>
      </c>
      <c r="B21" s="95"/>
      <c r="C21" s="95"/>
      <c r="D21" s="81">
        <f>'Pipe Fittings'!H12</f>
        <v>0</v>
      </c>
      <c r="E21" s="80"/>
      <c r="F21" s="201" t="s">
        <v>170</v>
      </c>
      <c r="G21" s="201"/>
      <c r="H21" s="201"/>
      <c r="I21" s="100">
        <f>'Pipe Fittings'!H29</f>
        <v>0</v>
      </c>
      <c r="K21" s="93"/>
    </row>
    <row r="22" spans="1:11">
      <c r="A22" s="110" t="s">
        <v>159</v>
      </c>
      <c r="B22" s="95"/>
      <c r="C22" s="95"/>
      <c r="D22" s="81">
        <f>'Pipe Fittings'!H13</f>
        <v>0</v>
      </c>
      <c r="E22" s="80"/>
      <c r="F22" s="201" t="s">
        <v>166</v>
      </c>
      <c r="G22" s="201"/>
      <c r="H22" s="201"/>
      <c r="I22" s="100">
        <f>'Pipe Fittings'!H30</f>
        <v>0</v>
      </c>
    </row>
    <row r="23" spans="1:11">
      <c r="A23" s="110" t="s">
        <v>160</v>
      </c>
      <c r="B23" s="95"/>
      <c r="C23" s="95"/>
      <c r="D23" s="81">
        <f>'Pipe Fittings'!H14</f>
        <v>0</v>
      </c>
      <c r="E23" s="80"/>
      <c r="F23" s="201" t="s">
        <v>75</v>
      </c>
      <c r="G23" s="201"/>
      <c r="H23" s="201"/>
      <c r="I23" s="100">
        <f>'Pipe Fittings'!H31</f>
        <v>1</v>
      </c>
    </row>
    <row r="24" spans="1:11">
      <c r="A24" s="110" t="s">
        <v>161</v>
      </c>
      <c r="B24" s="95"/>
      <c r="C24" s="95"/>
      <c r="D24" s="81">
        <f>'Pipe Fittings'!H15</f>
        <v>0</v>
      </c>
      <c r="E24" s="80"/>
      <c r="F24" s="208" t="s">
        <v>133</v>
      </c>
      <c r="G24" s="208"/>
      <c r="H24" s="208"/>
      <c r="I24" s="101"/>
    </row>
    <row r="25" spans="1:11">
      <c r="A25" s="77"/>
      <c r="B25" s="78"/>
      <c r="C25" s="78"/>
      <c r="D25" s="81"/>
      <c r="E25" s="80"/>
      <c r="F25" s="201" t="s">
        <v>78</v>
      </c>
      <c r="G25" s="201"/>
      <c r="H25" s="201"/>
      <c r="I25" s="100">
        <f>'Pipe Fittings'!H34</f>
        <v>1</v>
      </c>
    </row>
    <row r="26" spans="1:11">
      <c r="A26" s="111" t="s">
        <v>132</v>
      </c>
      <c r="B26" s="96"/>
      <c r="C26" s="96"/>
      <c r="D26" s="99"/>
      <c r="E26" s="80"/>
      <c r="F26" s="201" t="s">
        <v>80</v>
      </c>
      <c r="G26" s="201"/>
      <c r="H26" s="201"/>
      <c r="I26" s="100">
        <f>'Pipe Fittings'!H35</f>
        <v>0</v>
      </c>
    </row>
    <row r="27" spans="1:11">
      <c r="A27" s="110" t="s">
        <v>153</v>
      </c>
      <c r="B27" s="95"/>
      <c r="C27" s="95"/>
      <c r="D27" s="112">
        <f>'Pipe Fittings'!H16</f>
        <v>0</v>
      </c>
      <c r="E27" s="78"/>
      <c r="F27" s="201" t="s">
        <v>12</v>
      </c>
      <c r="G27" s="201"/>
      <c r="H27" s="201"/>
      <c r="I27" s="100">
        <f>'Pipe Fittings'!H36</f>
        <v>0</v>
      </c>
    </row>
    <row r="28" spans="1:11">
      <c r="A28" s="110" t="s">
        <v>162</v>
      </c>
      <c r="B28" s="95"/>
      <c r="C28" s="95"/>
      <c r="D28" s="112">
        <f>'Pipe Fittings'!H17</f>
        <v>0</v>
      </c>
      <c r="E28" s="78"/>
      <c r="F28" s="201" t="s">
        <v>173</v>
      </c>
      <c r="G28" s="201"/>
      <c r="H28" s="201"/>
      <c r="I28" s="100">
        <f>'Pipe Fittings'!H37</f>
        <v>0</v>
      </c>
    </row>
    <row r="29" spans="1:11">
      <c r="A29" s="110" t="s">
        <v>163</v>
      </c>
      <c r="B29" s="95"/>
      <c r="C29" s="95"/>
      <c r="D29" s="81">
        <f>'Pipe Fittings'!H18</f>
        <v>0</v>
      </c>
      <c r="E29" s="74"/>
      <c r="F29" s="201" t="s">
        <v>172</v>
      </c>
      <c r="G29" s="201"/>
      <c r="H29" s="201"/>
      <c r="I29" s="100">
        <f>'Pipe Fittings'!H38</f>
        <v>0</v>
      </c>
    </row>
    <row r="30" spans="1:11">
      <c r="A30" s="110" t="s">
        <v>164</v>
      </c>
      <c r="B30" s="95"/>
      <c r="C30" s="95"/>
      <c r="D30" s="81">
        <f>'Pipe Fittings'!H19</f>
        <v>0</v>
      </c>
      <c r="E30" s="74"/>
      <c r="F30" s="201" t="s">
        <v>171</v>
      </c>
      <c r="G30" s="201"/>
      <c r="H30" s="201"/>
      <c r="I30" s="100">
        <f>'Pipe Fittings'!H39</f>
        <v>0</v>
      </c>
    </row>
    <row r="31" spans="1:11">
      <c r="A31" s="77"/>
      <c r="B31" s="78"/>
      <c r="C31" s="78"/>
      <c r="D31" s="113"/>
      <c r="E31" s="78"/>
      <c r="F31" s="201" t="s">
        <v>13</v>
      </c>
      <c r="G31" s="201"/>
      <c r="H31" s="201"/>
      <c r="I31" s="100">
        <f>'Pipe Fittings'!H40</f>
        <v>0</v>
      </c>
    </row>
    <row r="32" spans="1:11">
      <c r="A32" s="114" t="s">
        <v>136</v>
      </c>
      <c r="B32" s="115"/>
      <c r="C32" s="115"/>
      <c r="D32" s="113"/>
      <c r="E32" s="78"/>
      <c r="F32" s="201" t="s">
        <v>15</v>
      </c>
      <c r="G32" s="201"/>
      <c r="H32" s="201"/>
      <c r="I32" s="100">
        <f>'Pipe Fittings'!H41</f>
        <v>0</v>
      </c>
    </row>
    <row r="33" spans="1:9">
      <c r="A33" s="122" t="s">
        <v>165</v>
      </c>
      <c r="B33" s="123"/>
      <c r="C33" s="123"/>
      <c r="D33" s="112">
        <f>'Pipe Fittings'!H20</f>
        <v>0</v>
      </c>
      <c r="E33" s="78"/>
      <c r="F33" s="201" t="s">
        <v>83</v>
      </c>
      <c r="G33" s="201"/>
      <c r="H33" s="201"/>
      <c r="I33" s="100">
        <f>'Pipe Fittings'!H42</f>
        <v>0</v>
      </c>
    </row>
    <row r="34" spans="1:9">
      <c r="A34" s="110" t="s">
        <v>166</v>
      </c>
      <c r="B34" s="95"/>
      <c r="C34" s="95"/>
      <c r="D34" s="112">
        <f>'Pipe Fittings'!H21</f>
        <v>0</v>
      </c>
      <c r="E34" s="78"/>
      <c r="F34" s="201" t="s">
        <v>85</v>
      </c>
      <c r="G34" s="201"/>
      <c r="H34" s="201"/>
      <c r="I34" s="100">
        <f>'Pipe Fittings'!H43</f>
        <v>0</v>
      </c>
    </row>
    <row r="35" spans="1:9">
      <c r="A35" s="110" t="s">
        <v>167</v>
      </c>
      <c r="B35" s="95"/>
      <c r="C35" s="95"/>
      <c r="D35" s="112">
        <f>'Pipe Fittings'!H22</f>
        <v>1</v>
      </c>
      <c r="E35" s="78"/>
      <c r="F35" s="201" t="s">
        <v>87</v>
      </c>
      <c r="G35" s="201"/>
      <c r="H35" s="201"/>
      <c r="I35" s="100">
        <f>'Pipe Fittings'!H44</f>
        <v>1</v>
      </c>
    </row>
    <row r="36" spans="1:9">
      <c r="A36" s="209" t="s">
        <v>137</v>
      </c>
      <c r="B36" s="210"/>
      <c r="C36" s="210"/>
      <c r="D36" s="210"/>
      <c r="E36" s="210"/>
      <c r="F36" s="97">
        <f>Calculations!H16</f>
        <v>1.3456546995212895</v>
      </c>
      <c r="G36" s="82" t="s">
        <v>96</v>
      </c>
      <c r="H36" s="74"/>
      <c r="I36" s="75"/>
    </row>
    <row r="37" spans="1:9">
      <c r="A37" s="116"/>
      <c r="B37" s="107"/>
      <c r="C37" s="107"/>
      <c r="D37" s="107"/>
      <c r="E37" s="107"/>
      <c r="F37" s="108">
        <f>F36*100000/(9.81*Input!F10)</f>
        <v>9.1447821917858612</v>
      </c>
      <c r="G37" s="108" t="s">
        <v>99</v>
      </c>
      <c r="H37" s="74"/>
      <c r="I37" s="75"/>
    </row>
    <row r="38" spans="1:9">
      <c r="A38" s="213" t="s">
        <v>144</v>
      </c>
      <c r="B38" s="214"/>
      <c r="C38" s="214"/>
      <c r="D38" s="74"/>
      <c r="E38" s="74"/>
      <c r="F38" s="74"/>
      <c r="G38" s="74"/>
      <c r="H38" s="74"/>
      <c r="I38" s="75"/>
    </row>
    <row r="39" spans="1:9">
      <c r="A39" s="117">
        <v>1</v>
      </c>
      <c r="B39" s="207" t="str">
        <f>'Inline Accessories'!B6:E6</f>
        <v>Rotameter</v>
      </c>
      <c r="C39" s="207"/>
      <c r="D39" s="207"/>
      <c r="E39" s="207"/>
      <c r="F39" s="207">
        <f>'Inline Accessories'!F6:G6</f>
        <v>0.1</v>
      </c>
      <c r="G39" s="207"/>
      <c r="H39" s="95" t="s">
        <v>96</v>
      </c>
      <c r="I39" s="75"/>
    </row>
    <row r="40" spans="1:9">
      <c r="A40" s="117">
        <v>2</v>
      </c>
      <c r="B40" s="207" t="str">
        <f>'Inline Accessories'!B7:E7</f>
        <v>Heat Exchanger</v>
      </c>
      <c r="C40" s="207"/>
      <c r="D40" s="207"/>
      <c r="E40" s="207"/>
      <c r="F40" s="207">
        <f>'Inline Accessories'!F7:G7</f>
        <v>0.01</v>
      </c>
      <c r="G40" s="207"/>
      <c r="H40" s="95" t="s">
        <v>96</v>
      </c>
      <c r="I40" s="75"/>
    </row>
    <row r="41" spans="1:9">
      <c r="A41" s="117">
        <v>3</v>
      </c>
      <c r="B41" s="207" t="str">
        <f>'Inline Accessories'!B8:E8</f>
        <v>Exchanger- E101</v>
      </c>
      <c r="C41" s="207"/>
      <c r="D41" s="207"/>
      <c r="E41" s="207"/>
      <c r="F41" s="207">
        <f>'Inline Accessories'!F8:G8</f>
        <v>0</v>
      </c>
      <c r="G41" s="207"/>
      <c r="H41" s="95" t="s">
        <v>96</v>
      </c>
      <c r="I41" s="75"/>
    </row>
    <row r="42" spans="1:9">
      <c r="A42" s="117">
        <v>4</v>
      </c>
      <c r="B42" s="207">
        <f>'Inline Accessories'!B9:E9</f>
        <v>12</v>
      </c>
      <c r="C42" s="207"/>
      <c r="D42" s="207"/>
      <c r="E42" s="207"/>
      <c r="F42" s="207">
        <f>'Inline Accessories'!F9:G9</f>
        <v>0</v>
      </c>
      <c r="G42" s="207"/>
      <c r="H42" s="95" t="s">
        <v>96</v>
      </c>
      <c r="I42" s="75"/>
    </row>
    <row r="43" spans="1:9">
      <c r="A43" s="117">
        <v>5</v>
      </c>
      <c r="B43" s="207">
        <f>'Inline Accessories'!B10:E10</f>
        <v>13</v>
      </c>
      <c r="C43" s="207"/>
      <c r="D43" s="207"/>
      <c r="E43" s="207"/>
      <c r="F43" s="207">
        <f>'Inline Accessories'!F10:G10</f>
        <v>0</v>
      </c>
      <c r="G43" s="207"/>
      <c r="H43" s="95" t="s">
        <v>96</v>
      </c>
      <c r="I43" s="75"/>
    </row>
    <row r="44" spans="1:9">
      <c r="A44" s="117">
        <v>6</v>
      </c>
      <c r="B44" s="207">
        <f>'Inline Accessories'!B11:E11</f>
        <v>14</v>
      </c>
      <c r="C44" s="207"/>
      <c r="D44" s="207"/>
      <c r="E44" s="207"/>
      <c r="F44" s="207">
        <f>'Inline Accessories'!F11:G11</f>
        <v>0</v>
      </c>
      <c r="G44" s="207"/>
      <c r="H44" s="95" t="s">
        <v>96</v>
      </c>
      <c r="I44" s="75"/>
    </row>
    <row r="45" spans="1:9">
      <c r="A45" s="117">
        <v>7</v>
      </c>
      <c r="B45" s="207">
        <f>'Inline Accessories'!B12:E12</f>
        <v>15</v>
      </c>
      <c r="C45" s="207"/>
      <c r="D45" s="207"/>
      <c r="E45" s="207"/>
      <c r="F45" s="207">
        <f>'Inline Accessories'!F12:G12</f>
        <v>0</v>
      </c>
      <c r="G45" s="207"/>
      <c r="H45" s="95" t="s">
        <v>96</v>
      </c>
      <c r="I45" s="75"/>
    </row>
    <row r="46" spans="1:9">
      <c r="A46" s="118" t="s">
        <v>151</v>
      </c>
      <c r="B46" s="82"/>
      <c r="C46" s="82"/>
      <c r="D46" s="82"/>
      <c r="E46" s="82"/>
      <c r="F46" s="97">
        <f>Calculations!F17</f>
        <v>0.11</v>
      </c>
      <c r="G46" s="96" t="s">
        <v>96</v>
      </c>
      <c r="H46" s="74"/>
      <c r="I46" s="75"/>
    </row>
    <row r="47" spans="1:9" ht="13.5" thickBot="1">
      <c r="A47" s="119"/>
      <c r="B47" s="109"/>
      <c r="C47" s="109"/>
      <c r="D47" s="109"/>
      <c r="E47" s="109"/>
      <c r="F47" s="109">
        <f>F46*100000/(9.81*Input!F10)</f>
        <v>0.7475365273530411</v>
      </c>
      <c r="G47" s="109" t="s">
        <v>99</v>
      </c>
      <c r="H47" s="84"/>
      <c r="I47" s="85"/>
    </row>
    <row r="48" spans="1:9" ht="13.5" thickTop="1">
      <c r="A48" s="76" t="s">
        <v>138</v>
      </c>
      <c r="B48" s="74"/>
      <c r="C48" s="74"/>
      <c r="D48" s="74"/>
      <c r="E48" s="74"/>
      <c r="F48" s="74"/>
      <c r="G48" s="74"/>
      <c r="H48" s="74"/>
      <c r="I48" s="75"/>
    </row>
    <row r="49" spans="1:9">
      <c r="A49" s="73"/>
      <c r="B49" s="74" t="s">
        <v>118</v>
      </c>
      <c r="C49" s="74"/>
      <c r="D49" s="82" t="str">
        <f>Calculations!F10</f>
        <v>TURBULENT</v>
      </c>
      <c r="E49" s="74"/>
      <c r="F49" s="74"/>
      <c r="G49" s="74"/>
      <c r="H49" s="74"/>
      <c r="I49" s="75"/>
    </row>
    <row r="50" spans="1:9">
      <c r="A50" s="211" t="s">
        <v>149</v>
      </c>
      <c r="B50" s="212"/>
      <c r="C50" s="212"/>
      <c r="D50" s="106">
        <f>Calculations!F8</f>
        <v>4244.131815783875</v>
      </c>
      <c r="E50" s="74"/>
      <c r="F50" s="74"/>
      <c r="G50" s="74"/>
      <c r="H50" s="74"/>
      <c r="I50" s="75"/>
    </row>
    <row r="51" spans="1:9">
      <c r="A51" s="211" t="s">
        <v>150</v>
      </c>
      <c r="B51" s="212"/>
      <c r="C51" s="212"/>
      <c r="D51" s="120">
        <f>Calculations!F9</f>
        <v>2100</v>
      </c>
      <c r="E51" s="78"/>
      <c r="F51" s="74"/>
      <c r="G51" s="74"/>
      <c r="H51" s="74"/>
      <c r="I51" s="75"/>
    </row>
    <row r="52" spans="1:9">
      <c r="A52" s="73"/>
      <c r="B52" s="74" t="s">
        <v>119</v>
      </c>
      <c r="C52" s="74"/>
      <c r="D52" s="106">
        <f>Calculations!F18</f>
        <v>12.395142845522875</v>
      </c>
      <c r="E52" s="74" t="s">
        <v>117</v>
      </c>
      <c r="F52" s="74"/>
      <c r="G52" s="74"/>
      <c r="H52" s="74"/>
      <c r="I52" s="75"/>
    </row>
    <row r="53" spans="1:9">
      <c r="A53" s="73"/>
      <c r="B53" s="74"/>
      <c r="C53" s="74"/>
      <c r="D53" s="121">
        <f>Calculations!H18</f>
        <v>1.4560702697186911</v>
      </c>
      <c r="E53" s="74" t="s">
        <v>120</v>
      </c>
      <c r="F53" s="74"/>
      <c r="G53" s="74"/>
      <c r="H53" s="74"/>
      <c r="I53" s="75"/>
    </row>
    <row r="54" spans="1:9" ht="13.5" thickBot="1">
      <c r="A54" s="83"/>
      <c r="B54" s="84"/>
      <c r="C54" s="84"/>
      <c r="D54" s="84"/>
      <c r="E54" s="84"/>
      <c r="F54" s="84"/>
      <c r="G54" s="84"/>
      <c r="H54" s="84"/>
      <c r="I54" s="85"/>
    </row>
    <row r="55" spans="1:9" ht="13.5" thickTop="1">
      <c r="A55" s="74"/>
      <c r="B55" s="74"/>
      <c r="C55" s="74"/>
      <c r="D55" s="74"/>
      <c r="E55" s="74"/>
      <c r="F55" s="74"/>
      <c r="G55" s="74"/>
      <c r="H55" s="74"/>
      <c r="I55" s="74"/>
    </row>
    <row r="56" spans="1:9">
      <c r="A56" s="86"/>
      <c r="B56" s="86"/>
      <c r="C56" s="86"/>
      <c r="D56" s="86"/>
      <c r="E56" s="86"/>
      <c r="F56" s="86"/>
      <c r="G56" s="86"/>
      <c r="H56" s="86"/>
      <c r="I56" s="86"/>
    </row>
    <row r="57" spans="1:9">
      <c r="A57" s="86"/>
      <c r="B57" s="86"/>
      <c r="C57" s="86"/>
      <c r="D57" s="86"/>
      <c r="E57" s="86"/>
      <c r="F57" s="86"/>
      <c r="G57" s="86"/>
      <c r="H57" s="86"/>
      <c r="I57" s="86"/>
    </row>
    <row r="58" spans="1:9">
      <c r="A58" s="86"/>
      <c r="B58" s="86"/>
      <c r="C58" s="86"/>
      <c r="D58" s="86"/>
      <c r="E58" s="86"/>
      <c r="F58" s="86"/>
      <c r="G58" s="86"/>
      <c r="H58" s="86"/>
      <c r="I58" s="86"/>
    </row>
    <row r="59" spans="1:9">
      <c r="A59" s="86"/>
      <c r="B59" s="86"/>
      <c r="C59" s="86"/>
      <c r="D59" s="86"/>
      <c r="E59" s="86"/>
      <c r="F59" s="86"/>
      <c r="G59" s="86"/>
      <c r="H59" s="86"/>
      <c r="I59" s="86"/>
    </row>
    <row r="60" spans="1:9">
      <c r="A60" s="87"/>
      <c r="B60" s="87"/>
      <c r="C60" s="87"/>
      <c r="D60" s="87"/>
      <c r="E60" s="87"/>
      <c r="F60" s="87"/>
      <c r="G60" s="87"/>
      <c r="H60" s="87"/>
      <c r="I60" s="87"/>
    </row>
    <row r="61" spans="1:9">
      <c r="A61" s="87"/>
      <c r="B61" s="87"/>
      <c r="C61" s="87"/>
      <c r="D61" s="87"/>
      <c r="E61" s="87"/>
      <c r="F61" s="87"/>
      <c r="G61" s="87"/>
      <c r="H61" s="87"/>
      <c r="I61" s="87"/>
    </row>
    <row r="62" spans="1:9">
      <c r="A62" s="87"/>
      <c r="B62" s="87"/>
      <c r="C62" s="87"/>
      <c r="D62" s="87"/>
      <c r="E62" s="87"/>
      <c r="F62" s="87"/>
      <c r="G62" s="87"/>
      <c r="H62" s="87"/>
      <c r="I62" s="87"/>
    </row>
    <row r="63" spans="1:9">
      <c r="A63" s="87"/>
      <c r="B63" s="87"/>
      <c r="C63" s="87"/>
      <c r="D63" s="87"/>
      <c r="E63" s="87"/>
      <c r="F63" s="87"/>
      <c r="G63" s="87"/>
      <c r="H63" s="87"/>
      <c r="I63" s="87"/>
    </row>
    <row r="64" spans="1:9">
      <c r="A64" s="87"/>
      <c r="B64" s="87"/>
      <c r="C64" s="87"/>
      <c r="D64" s="87"/>
      <c r="E64" s="87"/>
      <c r="F64" s="87"/>
      <c r="G64" s="87"/>
      <c r="H64" s="87"/>
      <c r="I64" s="87"/>
    </row>
    <row r="65" spans="1:9">
      <c r="A65" s="87"/>
      <c r="B65" s="87"/>
      <c r="C65" s="87"/>
      <c r="D65" s="87"/>
      <c r="E65" s="87"/>
      <c r="F65" s="87"/>
      <c r="G65" s="87"/>
      <c r="H65" s="87"/>
      <c r="I65" s="87"/>
    </row>
    <row r="66" spans="1:9">
      <c r="A66" s="87"/>
      <c r="B66" s="87"/>
      <c r="C66" s="87"/>
      <c r="D66" s="87"/>
      <c r="E66" s="87"/>
      <c r="F66" s="87"/>
      <c r="G66" s="87"/>
      <c r="H66" s="87"/>
      <c r="I66" s="87"/>
    </row>
    <row r="67" spans="1:9">
      <c r="A67" s="87"/>
      <c r="B67" s="87"/>
      <c r="C67" s="87"/>
      <c r="D67" s="87"/>
      <c r="E67" s="87"/>
      <c r="F67" s="87"/>
      <c r="G67" s="87"/>
      <c r="H67" s="87"/>
      <c r="I67" s="87"/>
    </row>
    <row r="68" spans="1:9">
      <c r="A68" s="87"/>
      <c r="B68" s="87"/>
      <c r="C68" s="87"/>
      <c r="D68" s="87"/>
      <c r="E68" s="87"/>
      <c r="F68" s="87"/>
      <c r="G68" s="87"/>
      <c r="H68" s="87"/>
      <c r="I68" s="87"/>
    </row>
  </sheetData>
  <sheetProtection password="DB83" sheet="1" objects="1" scenarios="1" selectLockedCells="1" selectUnlockedCells="1"/>
  <mergeCells count="40">
    <mergeCell ref="A51:C51"/>
    <mergeCell ref="B45:E45"/>
    <mergeCell ref="F45:G45"/>
    <mergeCell ref="A38:C38"/>
    <mergeCell ref="A50:C50"/>
    <mergeCell ref="B43:E43"/>
    <mergeCell ref="F43:G43"/>
    <mergeCell ref="B44:E44"/>
    <mergeCell ref="F44:G44"/>
    <mergeCell ref="B41:E41"/>
    <mergeCell ref="F25:H25"/>
    <mergeCell ref="F41:G41"/>
    <mergeCell ref="B42:E42"/>
    <mergeCell ref="F42:G42"/>
    <mergeCell ref="F35:H35"/>
    <mergeCell ref="A36:E36"/>
    <mergeCell ref="B39:E39"/>
    <mergeCell ref="F39:G39"/>
    <mergeCell ref="B40:E40"/>
    <mergeCell ref="F22:H22"/>
    <mergeCell ref="A14:B14"/>
    <mergeCell ref="F40:G40"/>
    <mergeCell ref="F23:H23"/>
    <mergeCell ref="F17:H17"/>
    <mergeCell ref="F18:H18"/>
    <mergeCell ref="F26:H26"/>
    <mergeCell ref="F27:H27"/>
    <mergeCell ref="F28:H28"/>
    <mergeCell ref="F33:H33"/>
    <mergeCell ref="F34:H34"/>
    <mergeCell ref="F24:H24"/>
    <mergeCell ref="F29:H29"/>
    <mergeCell ref="F30:H30"/>
    <mergeCell ref="F31:H31"/>
    <mergeCell ref="F32:H32"/>
    <mergeCell ref="F19:H19"/>
    <mergeCell ref="A1:I1"/>
    <mergeCell ref="F16:H16"/>
    <mergeCell ref="F20:H20"/>
    <mergeCell ref="F21:H21"/>
  </mergeCells>
  <pageMargins left="1" right="0.75" top="1" bottom="1" header="0.5" footer="0.5"/>
  <pageSetup paperSize="9" orientation="portrait" horizontalDpi="300" verticalDpi="300" r:id="rId1"/>
  <headerFooter alignWithMargins="0">
    <oddHeader>&amp;C&amp;D / &amp;T</oddHeader>
    <oddFooter>Power law-flow&amp;RPage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Pipe Fittings</vt:lpstr>
      <vt:lpstr>Inline Accessories</vt:lpstr>
      <vt:lpstr>Calculations</vt:lpstr>
      <vt:lpstr>Result</vt:lpstr>
    </vt:vector>
  </TitlesOfParts>
  <Company>cds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Avinash </cp:lastModifiedBy>
  <cp:lastPrinted>2011-08-25T10:36:42Z</cp:lastPrinted>
  <dcterms:created xsi:type="dcterms:W3CDTF">2001-10-24T07:38:46Z</dcterms:created>
  <dcterms:modified xsi:type="dcterms:W3CDTF">2011-08-25T10:38:18Z</dcterms:modified>
</cp:coreProperties>
</file>